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xml"/>
  <Override PartName="/xl/charts/chart32.xml" ContentType="application/vnd.openxmlformats-officedocument.drawingml.chart+xml"/>
  <Override PartName="/xl/drawings/drawing28.xml" ContentType="application/vnd.openxmlformats-officedocument.drawing+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harts/chart44.xml" ContentType="application/vnd.openxmlformats-officedocument.drawingml.chart+xml"/>
  <Override PartName="/xl/charts/style31.xml" ContentType="application/vnd.ms-office.chartstyle+xml"/>
  <Override PartName="/xl/charts/colors31.xml" ContentType="application/vnd.ms-office.chartcolorstyle+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4.xml" ContentType="application/vnd.ms-office.chartstyle+xml"/>
  <Override PartName="/xl/charts/colors34.xml" ContentType="application/vnd.ms-office.chartcolorstyle+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charts/chart49.xml" ContentType="application/vnd.openxmlformats-officedocument.drawingml.chart+xml"/>
  <Override PartName="/xl/charts/style36.xml" ContentType="application/vnd.ms-office.chartstyle+xml"/>
  <Override PartName="/xl/charts/colors36.xml" ContentType="application/vnd.ms-office.chartcolorstyle+xml"/>
  <Override PartName="/xl/charts/chart50.xml" ContentType="application/vnd.openxmlformats-officedocument.drawingml.chart+xml"/>
  <Override PartName="/xl/charts/style37.xml" ContentType="application/vnd.ms-office.chartstyle+xml"/>
  <Override PartName="/xl/charts/colors37.xml" ContentType="application/vnd.ms-office.chartcolorstyle+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ml.chartshapes+xml"/>
  <Override PartName="/xl/charts/chart5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53.xml" ContentType="application/vnd.openxmlformats-officedocument.drawingml.chart+xml"/>
  <Override PartName="/xl/charts/style40.xml" ContentType="application/vnd.ms-office.chartstyle+xml"/>
  <Override PartName="/xl/charts/colors40.xml" ContentType="application/vnd.ms-office.chartcolorstyle+xml"/>
  <Override PartName="/xl/charts/chart54.xml" ContentType="application/vnd.openxmlformats-officedocument.drawingml.chart+xml"/>
  <Override PartName="/xl/charts/style41.xml" ContentType="application/vnd.ms-office.chartstyle+xml"/>
  <Override PartName="/xl/charts/colors41.xml" ContentType="application/vnd.ms-office.chartcolorstyle+xml"/>
  <Override PartName="/xl/charts/chart55.xml" ContentType="application/vnd.openxmlformats-officedocument.drawingml.chart+xml"/>
  <Override PartName="/xl/charts/style42.xml" ContentType="application/vnd.ms-office.chartstyle+xml"/>
  <Override PartName="/xl/charts/colors42.xml" ContentType="application/vnd.ms-office.chartcolorstyle+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charts/chart57.xml" ContentType="application/vnd.openxmlformats-officedocument.drawingml.chart+xml"/>
  <Override PartName="/xl/charts/style44.xml" ContentType="application/vnd.ms-office.chartstyle+xml"/>
  <Override PartName="/xl/charts/colors44.xml" ContentType="application/vnd.ms-office.chartcolorstyle+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0.xml" ContentType="application/vnd.openxmlformats-officedocument.drawing+xml"/>
  <Override PartName="/xl/charts/chart59.xml" ContentType="application/vnd.openxmlformats-officedocument.drawingml.chart+xml"/>
  <Override PartName="/xl/charts/style46.xml" ContentType="application/vnd.ms-office.chartstyle+xml"/>
  <Override PartName="/xl/charts/colors46.xml" ContentType="application/vnd.ms-office.chartcolorstyle+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xml"/>
  <Override PartName="/xl/charts/chart6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2.xml" ContentType="application/vnd.openxmlformats-officedocument.drawing+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charts/chart6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3.xml" ContentType="application/vnd.openxmlformats-officedocument.drawing+xml"/>
  <Override PartName="/xl/charts/chart65.xml" ContentType="application/vnd.openxmlformats-officedocument.drawingml.chart+xml"/>
  <Override PartName="/xl/charts/style52.xml" ContentType="application/vnd.ms-office.chartstyle+xml"/>
  <Override PartName="/xl/charts/colors52.xml" ContentType="application/vnd.ms-office.chartcolorstyle+xml"/>
  <Override PartName="/xl/charts/chart6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4.xml" ContentType="application/vnd.openxmlformats-officedocument.drawing+xml"/>
  <Override PartName="/xl/charts/chart67.xml" ContentType="application/vnd.openxmlformats-officedocument.drawingml.chart+xml"/>
  <Override PartName="/xl/charts/style54.xml" ContentType="application/vnd.ms-office.chartstyle+xml"/>
  <Override PartName="/xl/charts/colors54.xml" ContentType="application/vnd.ms-office.chartcolorstyle+xml"/>
  <Override PartName="/xl/charts/chart68.xml" ContentType="application/vnd.openxmlformats-officedocument.drawingml.chart+xml"/>
  <Override PartName="/xl/charts/style55.xml" ContentType="application/vnd.ms-office.chartstyle+xml"/>
  <Override PartName="/xl/charts/colors55.xml" ContentType="application/vnd.ms-office.chartcolorstyle+xml"/>
  <Override PartName="/xl/charts/chart69.xml" ContentType="application/vnd.openxmlformats-officedocument.drawingml.chart+xml"/>
  <Override PartName="/xl/charts/style56.xml" ContentType="application/vnd.ms-office.chartstyle+xml"/>
  <Override PartName="/xl/charts/colors56.xml" ContentType="application/vnd.ms-office.chartcolorstyle+xml"/>
  <Override PartName="/xl/charts/chart70.xml" ContentType="application/vnd.openxmlformats-officedocument.drawingml.chart+xml"/>
  <Override PartName="/xl/charts/style57.xml" ContentType="application/vnd.ms-office.chartstyle+xml"/>
  <Override PartName="/xl/charts/colors57.xml" ContentType="application/vnd.ms-office.chartcolorstyle+xml"/>
  <Override PartName="/xl/charts/chart71.xml" ContentType="application/vnd.openxmlformats-officedocument.drawingml.chart+xml"/>
  <Override PartName="/xl/charts/style58.xml" ContentType="application/vnd.ms-office.chartstyle+xml"/>
  <Override PartName="/xl/charts/colors58.xml" ContentType="application/vnd.ms-office.chartcolorstyle+xml"/>
  <Override PartName="/xl/charts/chart72.xml" ContentType="application/vnd.openxmlformats-officedocument.drawingml.chart+xml"/>
  <Override PartName="/xl/charts/style59.xml" ContentType="application/vnd.ms-office.chartstyle+xml"/>
  <Override PartName="/xl/charts/colors59.xml" ContentType="application/vnd.ms-office.chartcolorstyle+xml"/>
  <Override PartName="/xl/charts/chart73.xml" ContentType="application/vnd.openxmlformats-officedocument.drawingml.chart+xml"/>
  <Override PartName="/xl/charts/style60.xml" ContentType="application/vnd.ms-office.chartstyle+xml"/>
  <Override PartName="/xl/charts/colors60.xml" ContentType="application/vnd.ms-office.chartcolorstyle+xml"/>
  <Override PartName="/xl/charts/chart74.xml" ContentType="application/vnd.openxmlformats-officedocument.drawingml.chart+xml"/>
  <Override PartName="/xl/charts/style61.xml" ContentType="application/vnd.ms-office.chartstyle+xml"/>
  <Override PartName="/xl/charts/colors61.xml" ContentType="application/vnd.ms-office.chartcolorstyle+xml"/>
  <Override PartName="/xl/charts/chart7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5.xml" ContentType="application/vnd.openxmlformats-officedocument.drawing+xml"/>
  <Override PartName="/xl/charts/chart76.xml" ContentType="application/vnd.openxmlformats-officedocument.drawingml.chart+xml"/>
  <Override PartName="/xl/charts/style63.xml" ContentType="application/vnd.ms-office.chartstyle+xml"/>
  <Override PartName="/xl/charts/colors63.xml" ContentType="application/vnd.ms-office.chartcolorstyle+xml"/>
  <Override PartName="/xl/charts/chart77.xml" ContentType="application/vnd.openxmlformats-officedocument.drawingml.chart+xml"/>
  <Override PartName="/xl/charts/style64.xml" ContentType="application/vnd.ms-office.chartstyle+xml"/>
  <Override PartName="/xl/charts/colors64.xml" ContentType="application/vnd.ms-office.chartcolorstyle+xml"/>
  <Override PartName="/xl/charts/chart78.xml" ContentType="application/vnd.openxmlformats-officedocument.drawingml.chart+xml"/>
  <Override PartName="/xl/charts/style65.xml" ContentType="application/vnd.ms-office.chartstyle+xml"/>
  <Override PartName="/xl/charts/colors65.xml" ContentType="application/vnd.ms-office.chartcolorstyle+xml"/>
  <Override PartName="/xl/charts/chart79.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6.xml" ContentType="application/vnd.openxmlformats-officedocument.drawing+xml"/>
  <Override PartName="/xl/charts/chart8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81.xml" ContentType="application/vnd.openxmlformats-officedocument.drawingml.chart+xml"/>
  <Override PartName="/xl/charts/style68.xml" ContentType="application/vnd.ms-office.chartstyle+xml"/>
  <Override PartName="/xl/charts/colors68.xml" ContentType="application/vnd.ms-office.chartcolorstyle+xml"/>
  <Override PartName="/xl/charts/chart8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49.xml" ContentType="application/vnd.openxmlformats-officedocument.drawing+xml"/>
  <Override PartName="/xl/charts/chart83.xml" ContentType="application/vnd.openxmlformats-officedocument.drawingml.chart+xml"/>
  <Override PartName="/xl/charts/style70.xml" ContentType="application/vnd.ms-office.chartstyle+xml"/>
  <Override PartName="/xl/charts/colors70.xml" ContentType="application/vnd.ms-office.chartcolorstyle+xml"/>
  <Override PartName="/xl/charts/chart8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0.xml" ContentType="application/vnd.openxmlformats-officedocument.drawing+xml"/>
  <Override PartName="/xl/charts/chart85.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05"/>
  <workbookPr defaultThemeVersion="166925"/>
  <mc:AlternateContent xmlns:mc="http://schemas.openxmlformats.org/markup-compatibility/2006">
    <mc:Choice Requires="x15">
      <x15ac:absPath xmlns:x15ac="http://schemas.microsoft.com/office/spreadsheetml/2010/11/ac" url="Q:\DATA\FP\Fiscal Monitor\2023-04-April_Monitor\Database\"/>
    </mc:Choice>
  </mc:AlternateContent>
  <xr:revisionPtr revIDLastSave="0" documentId="14_{E14F8A3B-8A7B-4FA7-9FF7-672E1A400BE2}" xr6:coauthVersionLast="47" xr6:coauthVersionMax="47" xr10:uidLastSave="{00000000-0000-0000-0000-000000000000}"/>
  <bookViews>
    <workbookView xWindow="-120" yWindow="-120" windowWidth="29040" windowHeight="15840" firstSheet="9" activeTab="9" xr2:uid="{1B684DC6-CF26-4460-BA07-B7BA7B6CE930}"/>
  </bookViews>
  <sheets>
    <sheet name="Table of Contents" sheetId="2" r:id="rId1"/>
    <sheet name="FM Database Apr. 2023" sheetId="3" r:id="rId2"/>
    <sheet name="Table 1.1" sheetId="4" r:id="rId3"/>
    <sheet name="Table 1.2" sheetId="5" r:id="rId4"/>
    <sheet name="Figure 1.1" sheetId="6" r:id="rId5"/>
    <sheet name="Figure 1.2" sheetId="7" r:id="rId6"/>
    <sheet name="Figure 1.3" sheetId="8" r:id="rId7"/>
    <sheet name="Figure 1.4" sheetId="9" r:id="rId8"/>
    <sheet name="Figure 1.5" sheetId="10" r:id="rId9"/>
    <sheet name="Figure 1.6" sheetId="11" r:id="rId10"/>
    <sheet name="Figure 1.7" sheetId="12" r:id="rId11"/>
    <sheet name="Figure 1.8" sheetId="13" r:id="rId12"/>
    <sheet name="Figure 1.9" sheetId="14" r:id="rId13"/>
    <sheet name="Figure 1.10" sheetId="15" r:id="rId14"/>
    <sheet name="Figure 1.11" sheetId="16" r:id="rId15"/>
    <sheet name="Figure 1.12" sheetId="17" r:id="rId16"/>
    <sheet name="Figure 1.13" sheetId="18" r:id="rId17"/>
    <sheet name="Figure 1.14" sheetId="19" r:id="rId18"/>
    <sheet name="Figure 1.15" sheetId="20" r:id="rId19"/>
    <sheet name="Figure 1.16" sheetId="21" r:id="rId20"/>
    <sheet name="Figure 1.17" sheetId="22" r:id="rId21"/>
    <sheet name="Figure 1.18" sheetId="23" r:id="rId22"/>
    <sheet name="Figure 1.19" sheetId="24" r:id="rId23"/>
    <sheet name="Figure 1.1.1" sheetId="25" r:id="rId24"/>
    <sheet name="Figure 1.1.2" sheetId="26" r:id="rId25"/>
    <sheet name="Table 2.1." sheetId="27" r:id="rId26"/>
    <sheet name="Figure 2.1." sheetId="28" r:id="rId27"/>
    <sheet name="Figure 2.2." sheetId="29" r:id="rId28"/>
    <sheet name="Figure 2.3." sheetId="30" r:id="rId29"/>
    <sheet name="Figure 2.4." sheetId="31" r:id="rId30"/>
    <sheet name="Figure 2.5." sheetId="32" r:id="rId31"/>
    <sheet name="Figure 2.6." sheetId="33" r:id="rId32"/>
    <sheet name="Figure 2.7." sheetId="34" r:id="rId33"/>
    <sheet name="Figure 2.8." sheetId="35" r:id="rId34"/>
    <sheet name="Figure 2.9." sheetId="36" r:id="rId35"/>
    <sheet name="Figure 2.10." sheetId="37" r:id="rId36"/>
    <sheet name="Figure 2.11." sheetId="38" r:id="rId37"/>
    <sheet name="Figure 2.1.1." sheetId="39" r:id="rId38"/>
    <sheet name="Figure 2.3.1." sheetId="40" r:id="rId39"/>
    <sheet name="Figure 2.4.1." sheetId="41" r:id="rId40"/>
    <sheet name="Figure 2.4.2." sheetId="42" r:id="rId41"/>
    <sheet name="Figure 2.4.3." sheetId="43" r:id="rId42"/>
    <sheet name="Table A1." sheetId="48" r:id="rId43"/>
    <sheet name="Table A2." sheetId="49" r:id="rId44"/>
    <sheet name="Table A3." sheetId="50" r:id="rId45"/>
    <sheet name="Table A4." sheetId="51" r:id="rId46"/>
    <sheet name="Table A5." sheetId="52" r:id="rId47"/>
    <sheet name="Table A6." sheetId="53" r:id="rId48"/>
    <sheet name="Table A7." sheetId="54" r:id="rId49"/>
    <sheet name="Table A8." sheetId="55" r:id="rId50"/>
    <sheet name="Table A9." sheetId="56" r:id="rId51"/>
    <sheet name="Table A10." sheetId="57" r:id="rId52"/>
    <sheet name="Table A11." sheetId="58" r:id="rId53"/>
    <sheet name="Table A12." sheetId="59" r:id="rId54"/>
    <sheet name="Table A13." sheetId="60" r:id="rId55"/>
    <sheet name="Table A14." sheetId="61" r:id="rId56"/>
    <sheet name="Table A15." sheetId="62" r:id="rId57"/>
    <sheet name="Table A16." sheetId="63" r:id="rId58"/>
    <sheet name="Table A17." sheetId="64" r:id="rId59"/>
    <sheet name="Table A18." sheetId="65" r:id="rId60"/>
    <sheet name="Table A19." sheetId="66" r:id="rId61"/>
    <sheet name="Table A20." sheetId="67" r:id="rId62"/>
    <sheet name="Table A21." sheetId="68" r:id="rId63"/>
    <sheet name="Table A22." sheetId="69" r:id="rId64"/>
    <sheet name="Table A23." sheetId="70" r:id="rId65"/>
    <sheet name="Table A24." sheetId="71" r:id="rId66"/>
    <sheet name="Table A25." sheetId="72" r:id="rId67"/>
    <sheet name="Table A. Economy Groupings" sheetId="44" r:id="rId68"/>
    <sheet name="Table B." sheetId="45" r:id="rId69"/>
    <sheet name="Table C." sheetId="46" r:id="rId70"/>
    <sheet name="Table D." sheetId="47"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s>
  <definedNames>
    <definedName name="\A">#REF!</definedName>
    <definedName name="\a1234">#REF!</definedName>
    <definedName name="\B">#REF!</definedName>
    <definedName name="\bb">'[1]Page 7'!#REF!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#REF!</definedName>
    <definedName name="__">[2]EAT12_1!#REF!,[2]EAT12_1!#REF!,[2]EAT12_1!#REF!,[2]EAT12_1!#REF!,[2]EAT12_1!#REF!,[2]EAT12_1!#REF!,[2]EAT12_1!#REF!,[2]EAT12_1!#REF!,[2]EAT12_1!#REF!,[2]EAT12_1!#REF!</definedName>
    <definedName name="_____" localSheetId="21" hidden="1">'[3]2'!#REF!</definedName>
    <definedName name="_____" localSheetId="1" hidden="1">'[4]2'!#REF!</definedName>
    <definedName name="_____" localSheetId="0" hidden="1">'[4]2'!#REF!</definedName>
    <definedName name="_____" hidden="1">'[3]2'!#REF!</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lo2">#N/A</definedName>
    <definedName name="_____loi3">#N/A</definedName>
    <definedName name="_____new1">#N/A</definedName>
    <definedName name="_____YR90">'[5]Imp:DSA output'!$D$9:$D$464</definedName>
    <definedName name="_____YR91">'[5]Imp:DSA output'!$E$9:$E$464</definedName>
    <definedName name="_____YR92">'[5]Imp:DSA output'!$F$9:$F$464</definedName>
    <definedName name="_____YR93">'[5]Imp:DSA output'!$G$9:$G$464</definedName>
    <definedName name="_____YR94">'[5]Imp:DSA output'!$H$9:$H$464</definedName>
    <definedName name="_____YR95">'[5]Imp:DSA output'!$I$9:$I$464</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YR90">'[5]Imp:DSA output'!$D$9:$D$464</definedName>
    <definedName name="____YR91">'[5]Imp:DSA output'!$E$9:$E$464</definedName>
    <definedName name="____YR92">'[5]Imp:DSA output'!$F$9:$F$464</definedName>
    <definedName name="____YR93">'[5]Imp:DSA output'!$G$9:$G$464</definedName>
    <definedName name="____YR94">'[5]Imp:DSA output'!$H$9:$H$464</definedName>
    <definedName name="____YR95">'[5]Imp:DSA output'!$I$9:$I$464</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'[5]Imp:DSA output'!$D$9:$D$464</definedName>
    <definedName name="___YR91">'[5]Imp:DSA output'!$E$9:$E$464</definedName>
    <definedName name="___YR92">'[5]Imp:DSA output'!$F$9:$F$464</definedName>
    <definedName name="___YR93">'[5]Imp:DSA output'!$G$9:$G$464</definedName>
    <definedName name="___YR94">'[5]Imp:DSA output'!$H$9:$H$464</definedName>
    <definedName name="___YR95">'[5]Imp:DSA output'!$I$9:$I$464</definedName>
    <definedName name="__123Graph_A" localSheetId="21" hidden="1">#REF!</definedName>
    <definedName name="__123Graph_A" localSheetId="1" hidden="1">#REF!</definedName>
    <definedName name="__123Graph_A" localSheetId="0" hidden="1">#REF!</definedName>
    <definedName name="__123Graph_A" hidden="1">#REF!</definedName>
    <definedName name="__123Graph_ABERLGRAP" localSheetId="21" hidden="1">'[6]Time series'!#REF!</definedName>
    <definedName name="__123Graph_ABERLGRAP" localSheetId="1" hidden="1">'[6]Time series'!#REF!</definedName>
    <definedName name="__123Graph_ABERLGRAP" localSheetId="0" hidden="1">'[6]Time series'!#REF!</definedName>
    <definedName name="__123Graph_ABERLGRAP" hidden="1">'[6]Time series'!#REF!</definedName>
    <definedName name="__123Graph_ABKSRESRV" localSheetId="21" hidden="1">[7]BOG!#REF!</definedName>
    <definedName name="__123Graph_ABKSRESRV" localSheetId="1" hidden="1">[7]BOG!#REF!</definedName>
    <definedName name="__123Graph_ABKSRESRV" localSheetId="0" hidden="1">[7]BOG!#REF!</definedName>
    <definedName name="__123Graph_ABKSRESRV" hidden="1">[7]BOG!#REF!</definedName>
    <definedName name="__123Graph_ABSYSASST" hidden="1">[8]interv!$C$37:$K$37</definedName>
    <definedName name="__123Graph_ACATCH1" localSheetId="21" hidden="1">'[6]Time series'!#REF!</definedName>
    <definedName name="__123Graph_ACATCH1" localSheetId="1" hidden="1">'[6]Time series'!#REF!</definedName>
    <definedName name="__123Graph_ACATCH1" localSheetId="0" hidden="1">'[6]Time series'!#REF!</definedName>
    <definedName name="__123Graph_ACATCH1" hidden="1">'[6]Time series'!#REF!</definedName>
    <definedName name="__123Graph_ACBASSETS" hidden="1">[8]interv!$C$34:$K$34</definedName>
    <definedName name="__123Graph_ACBAWKLY" hidden="1">[9]interv!#REF!</definedName>
    <definedName name="__123Graph_AChart1" localSheetId="21" hidden="1">'[3]2'!#REF!</definedName>
    <definedName name="__123Graph_AChart1" localSheetId="1" hidden="1">'[3]2'!#REF!</definedName>
    <definedName name="__123Graph_AChart1" localSheetId="0" hidden="1">'[3]2'!#REF!</definedName>
    <definedName name="__123Graph_AChart1" hidden="1">'[3]2'!#REF!</definedName>
    <definedName name="__123Graph_AChart2" localSheetId="21" hidden="1">'[3]2'!#REF!</definedName>
    <definedName name="__123Graph_AChart2" localSheetId="1" hidden="1">'[3]2'!#REF!</definedName>
    <definedName name="__123Graph_AChart2" localSheetId="0" hidden="1">'[3]2'!#REF!</definedName>
    <definedName name="__123Graph_AChart2" hidden="1">'[3]2'!#REF!</definedName>
    <definedName name="__123Graph_AChart3" localSheetId="21" hidden="1">'[3]2'!#REF!</definedName>
    <definedName name="__123Graph_AChart3" localSheetId="1" hidden="1">'[3]2'!#REF!</definedName>
    <definedName name="__123Graph_AChart3" localSheetId="0" hidden="1">'[3]2'!#REF!</definedName>
    <definedName name="__123Graph_AChart3" hidden="1">'[3]2'!#REF!</definedName>
    <definedName name="__123Graph_ACONVERG1" localSheetId="1" hidden="1">'[6]Time series'!#REF!</definedName>
    <definedName name="__123Graph_ACONVERG1" localSheetId="0" hidden="1">'[6]Time series'!#REF!</definedName>
    <definedName name="__123Graph_ACONVERG1" hidden="1">'[6]Time series'!#REF!</definedName>
    <definedName name="__123Graph_ACurrent" hidden="1">[10]CPIINDEX!$O$263:$O$310</definedName>
    <definedName name="__123Graph_ACURRISS" hidden="1">'[11]CBH old'!#REF!</definedName>
    <definedName name="__123Graph_AECTOT" localSheetId="21" hidden="1">#REF!</definedName>
    <definedName name="__123Graph_AECTOT" localSheetId="1" hidden="1">#REF!</definedName>
    <definedName name="__123Graph_AECTOT" localSheetId="0" hidden="1">#REF!</definedName>
    <definedName name="__123Graph_AECTOT" hidden="1">#REF!</definedName>
    <definedName name="__123Graph_AERDOLLAR" hidden="1">'[12]ex rate'!$F$30:$AM$30</definedName>
    <definedName name="__123Graph_AERRUBLE" hidden="1">'[12]ex rate'!$F$31:$AM$31</definedName>
    <definedName name="__123Graph_AEXCH" hidden="1">'[11]CBH old'!#REF!</definedName>
    <definedName name="__123Graph_AGDP" hidden="1">[13]AQ!#REF!</definedName>
    <definedName name="__123Graph_AGFS.3" hidden="1">[14]GFS!$T$14:$V$14</definedName>
    <definedName name="__123Graph_AGRAPH1" hidden="1">[15]T17_T18_MSURC!$E$831:$I$831</definedName>
    <definedName name="__123Graph_AGRAPH2" localSheetId="21" hidden="1">'[6]Time series'!#REF!</definedName>
    <definedName name="__123Graph_AGRAPH2" localSheetId="1" hidden="1">'[6]Time series'!#REF!</definedName>
    <definedName name="__123Graph_AGRAPH2" localSheetId="0" hidden="1">'[6]Time series'!#REF!</definedName>
    <definedName name="__123Graph_AGRAPH2" hidden="1">'[6]Time series'!#REF!</definedName>
    <definedName name="__123Graph_AGRAPH41" localSheetId="21" hidden="1">'[6]Time series'!#REF!</definedName>
    <definedName name="__123Graph_AGRAPH41" localSheetId="1" hidden="1">'[6]Time series'!#REF!</definedName>
    <definedName name="__123Graph_AGRAPH41" localSheetId="0" hidden="1">'[6]Time series'!#REF!</definedName>
    <definedName name="__123Graph_AGRAPH41" hidden="1">'[6]Time series'!#REF!</definedName>
    <definedName name="__123Graph_AGRAPH42" localSheetId="21" hidden="1">'[6]Time series'!#REF!</definedName>
    <definedName name="__123Graph_AGRAPH42" localSheetId="1" hidden="1">'[6]Time series'!#REF!</definedName>
    <definedName name="__123Graph_AGRAPH42" localSheetId="0" hidden="1">'[6]Time series'!#REF!</definedName>
    <definedName name="__123Graph_AGRAPH42" hidden="1">'[6]Time series'!#REF!</definedName>
    <definedName name="__123Graph_AGRAPH44" localSheetId="21" hidden="1">'[6]Time series'!#REF!</definedName>
    <definedName name="__123Graph_AGRAPH44" localSheetId="1" hidden="1">'[6]Time series'!#REF!</definedName>
    <definedName name="__123Graph_AGRAPH44" localSheetId="0" hidden="1">'[6]Time series'!#REF!</definedName>
    <definedName name="__123Graph_AGRAPH44" hidden="1">'[6]Time series'!#REF!</definedName>
    <definedName name="__123Graph_AIBRD_LEND" hidden="1">[16]WB!$Q$13:$AK$13</definedName>
    <definedName name="__123Graph_AIMPORTS" hidden="1">'[17]CA input'!#REF!</definedName>
    <definedName name="__123Graph_AMIMPMAC" hidden="1">[18]monimp!$E$38:$N$38</definedName>
    <definedName name="__123Graph_AMONEY" hidden="1">'[19]MonSurv-BC'!#REF!</definedName>
    <definedName name="__123Graph_AMONIMP" hidden="1">[18]monimp!$E$31:$N$31</definedName>
    <definedName name="__123Graph_AMSWKLY" hidden="1">[20]interv!#REF!</definedName>
    <definedName name="__123Graph_AMULTVELO" hidden="1">[18]interv!$C$31:$K$31</definedName>
    <definedName name="__123Graph_APERIB" localSheetId="21" hidden="1">'[6]Time series'!#REF!</definedName>
    <definedName name="__123Graph_APERIB" localSheetId="1" hidden="1">'[6]Time series'!#REF!</definedName>
    <definedName name="__123Graph_APERIB" localSheetId="0" hidden="1">'[6]Time series'!#REF!</definedName>
    <definedName name="__123Graph_APERIB" hidden="1">'[6]Time series'!#REF!</definedName>
    <definedName name="__123Graph_APIPELINE" hidden="1">[16]BoP!$U$359:$AQ$359</definedName>
    <definedName name="__123Graph_APRODABSC" localSheetId="21" hidden="1">'[6]Time series'!#REF!</definedName>
    <definedName name="__123Graph_APRODABSC" localSheetId="1" hidden="1">'[6]Time series'!#REF!</definedName>
    <definedName name="__123Graph_APRODABSC" localSheetId="0" hidden="1">'[6]Time series'!#REF!</definedName>
    <definedName name="__123Graph_APRODABSC" hidden="1">'[6]Time series'!#REF!</definedName>
    <definedName name="__123Graph_APRODABSD" localSheetId="21" hidden="1">'[6]Time series'!#REF!</definedName>
    <definedName name="__123Graph_APRODABSD" localSheetId="1" hidden="1">'[6]Time series'!#REF!</definedName>
    <definedName name="__123Graph_APRODABSD" localSheetId="0" hidden="1">'[6]Time series'!#REF!</definedName>
    <definedName name="__123Graph_APRODABSD" hidden="1">'[6]Time series'!#REF!</definedName>
    <definedName name="__123Graph_APRODTRE2" localSheetId="21" hidden="1">'[6]Time series'!#REF!</definedName>
    <definedName name="__123Graph_APRODTRE2" localSheetId="1" hidden="1">'[6]Time series'!#REF!</definedName>
    <definedName name="__123Graph_APRODTRE2" localSheetId="0" hidden="1">'[6]Time series'!#REF!</definedName>
    <definedName name="__123Graph_APRODTRE2" hidden="1">'[6]Time series'!#REF!</definedName>
    <definedName name="__123Graph_APRODTRE3" localSheetId="21" hidden="1">'[6]Time series'!#REF!</definedName>
    <definedName name="__123Graph_APRODTRE3" localSheetId="1" hidden="1">'[6]Time series'!#REF!</definedName>
    <definedName name="__123Graph_APRODTRE3" localSheetId="0" hidden="1">'[6]Time series'!#REF!</definedName>
    <definedName name="__123Graph_APRODTRE3" hidden="1">'[6]Time series'!#REF!</definedName>
    <definedName name="__123Graph_APRODTRE4" localSheetId="21" hidden="1">'[6]Time series'!#REF!</definedName>
    <definedName name="__123Graph_APRODTRE4" localSheetId="1" hidden="1">'[6]Time series'!#REF!</definedName>
    <definedName name="__123Graph_APRODTRE4" localSheetId="0" hidden="1">'[6]Time series'!#REF!</definedName>
    <definedName name="__123Graph_APRODTRE4" hidden="1">'[6]Time series'!#REF!</definedName>
    <definedName name="__123Graph_APRODTREND" hidden="1">'[6]Time series'!#REF!</definedName>
    <definedName name="__123Graph_AREALRATE" hidden="1">'[12]ex rate'!$F$36:$AU$36</definedName>
    <definedName name="__123Graph_AREER" localSheetId="21" hidden="1">[16]ER!#REF!</definedName>
    <definedName name="__123Graph_AREER" localSheetId="1" hidden="1">[16]ER!#REF!</definedName>
    <definedName name="__123Graph_AREER" localSheetId="0" hidden="1">[16]ER!#REF!</definedName>
    <definedName name="__123Graph_AREER" hidden="1">[16]ER!#REF!</definedName>
    <definedName name="__123Graph_ARER" localSheetId="21" hidden="1">#REF!</definedName>
    <definedName name="__123Graph_ARER" hidden="1">#REF!</definedName>
    <definedName name="__123Graph_ARESCOV" hidden="1">[18]fiscout!$J$146:$J$166</definedName>
    <definedName name="__123Graph_ARESERVES" hidden="1">[7]BOG!#REF!</definedName>
    <definedName name="__123Graph_ARUBRATE" hidden="1">'[12]ex rate'!$K$37:$AN$37</definedName>
    <definedName name="__123Graph_ASEASON_CASH" hidden="1">'[19]MonSurv-BC'!#REF!</definedName>
    <definedName name="__123Graph_ASEASON_MONEY" hidden="1">'[19]MonSurv-BC'!#REF!</definedName>
    <definedName name="__123Graph_ASEASON_SIGHT" hidden="1">'[19]MonSurv-BC'!#REF!</definedName>
    <definedName name="__123Graph_ASEASON_TIME" hidden="1">'[19]MonSurv-BC'!#REF!</definedName>
    <definedName name="__123Graph_ASEIGNOR" hidden="1">[21]seignior!#REF!</definedName>
    <definedName name="__123Graph_ATAX1" hidden="1">[14]TAX!$V$21:$X$21</definedName>
    <definedName name="__123Graph_ATRADECPI" localSheetId="21" hidden="1">[22]CPI!#REF!</definedName>
    <definedName name="__123Graph_ATRADECPI" localSheetId="1" hidden="1">[22]CPI!#REF!</definedName>
    <definedName name="__123Graph_ATRADECPI" localSheetId="0" hidden="1">[22]CPI!#REF!</definedName>
    <definedName name="__123Graph_ATRADECPI" hidden="1">[22]CPI!#REF!</definedName>
    <definedName name="__123Graph_AUSRATE" hidden="1">'[12]ex rate'!$K$36:$AN$36</definedName>
    <definedName name="__123Graph_AUTRECHT" localSheetId="21" hidden="1">'[6]Time series'!#REF!</definedName>
    <definedName name="__123Graph_AUTRECHT" localSheetId="1" hidden="1">'[6]Time series'!#REF!</definedName>
    <definedName name="__123Graph_AUTRECHT" localSheetId="0" hidden="1">'[6]Time series'!#REF!</definedName>
    <definedName name="__123Graph_AUTRECHT" hidden="1">'[6]Time series'!#REF!</definedName>
    <definedName name="__123Graph_AWEEKLY" localSheetId="21" hidden="1">#REF!</definedName>
    <definedName name="__123Graph_AWEEKLY" localSheetId="1" hidden="1">#REF!</definedName>
    <definedName name="__123Graph_AWEEKLY" localSheetId="0" hidden="1">#REF!</definedName>
    <definedName name="__123Graph_AWEEKLY" hidden="1">#REF!</definedName>
    <definedName name="__123Graph_AXRATE" hidden="1">[23]data!$K$125:$K$243</definedName>
    <definedName name="__123Graph_B" hidden="1">[24]Budfin!#REF!</definedName>
    <definedName name="__123Graph_BBERLGRAP" localSheetId="21" hidden="1">'[6]Time series'!#REF!</definedName>
    <definedName name="__123Graph_BBERLGRAP" localSheetId="1" hidden="1">'[6]Time series'!#REF!</definedName>
    <definedName name="__123Graph_BBERLGRAP" localSheetId="0" hidden="1">'[6]Time series'!#REF!</definedName>
    <definedName name="__123Graph_BBERLGRAP" hidden="1">'[6]Time series'!#REF!</definedName>
    <definedName name="__123Graph_BBKSRESRV" localSheetId="21" hidden="1">[7]BOG!#REF!</definedName>
    <definedName name="__123Graph_BBKSRESRV" localSheetId="1" hidden="1">[7]BOG!#REF!</definedName>
    <definedName name="__123Graph_BBKSRESRV" localSheetId="0" hidden="1">[7]BOG!#REF!</definedName>
    <definedName name="__123Graph_BBKSRESRV" hidden="1">[7]BOG!#REF!</definedName>
    <definedName name="__123Graph_BBSYSASST" hidden="1">[18]interv!$C$38:$K$38</definedName>
    <definedName name="__123Graph_BCATCH1" localSheetId="21" hidden="1">'[6]Time series'!#REF!</definedName>
    <definedName name="__123Graph_BCATCH1" localSheetId="1" hidden="1">'[6]Time series'!#REF!</definedName>
    <definedName name="__123Graph_BCATCH1" localSheetId="0" hidden="1">'[6]Time series'!#REF!</definedName>
    <definedName name="__123Graph_BCATCH1" hidden="1">'[6]Time series'!#REF!</definedName>
    <definedName name="__123Graph_BCBASSETS" hidden="1">[18]interv!$C$35:$K$35</definedName>
    <definedName name="__123Graph_BCBAWKLY" hidden="1">[20]interv!#REF!</definedName>
    <definedName name="__123Graph_BChart1" localSheetId="21" hidden="1">'[3]2'!#REF!</definedName>
    <definedName name="__123Graph_BChart1" localSheetId="1" hidden="1">'[3]2'!#REF!</definedName>
    <definedName name="__123Graph_BChart1" localSheetId="0" hidden="1">'[3]2'!#REF!</definedName>
    <definedName name="__123Graph_BChart1" hidden="1">'[3]2'!#REF!</definedName>
    <definedName name="__123Graph_BChart2" localSheetId="21" hidden="1">'[3]2'!#REF!</definedName>
    <definedName name="__123Graph_BChart2" localSheetId="1" hidden="1">'[3]2'!#REF!</definedName>
    <definedName name="__123Graph_BChart2" localSheetId="0" hidden="1">'[3]2'!#REF!</definedName>
    <definedName name="__123Graph_BChart2" hidden="1">'[3]2'!#REF!</definedName>
    <definedName name="__123Graph_BChart3" localSheetId="21" hidden="1">'[3]2'!#REF!</definedName>
    <definedName name="__123Graph_BChart3" localSheetId="1" hidden="1">'[3]2'!#REF!</definedName>
    <definedName name="__123Graph_BChart3" localSheetId="0" hidden="1">'[3]2'!#REF!</definedName>
    <definedName name="__123Graph_BChart3" hidden="1">'[3]2'!#REF!</definedName>
    <definedName name="__123Graph_BCOMPEXP">#N/A</definedName>
    <definedName name="__123Graph_BCONVERG1" localSheetId="1" hidden="1">'[6]Time series'!#REF!</definedName>
    <definedName name="__123Graph_BCONVERG1" localSheetId="0" hidden="1">'[6]Time series'!#REF!</definedName>
    <definedName name="__123Graph_BCONVERG1" hidden="1">'[6]Time series'!#REF!</definedName>
    <definedName name="__123Graph_BCurrent" hidden="1">[25]G!#REF!</definedName>
    <definedName name="__123Graph_BECTOT" localSheetId="21" hidden="1">#REF!</definedName>
    <definedName name="__123Graph_BECTOT" localSheetId="1" hidden="1">#REF!</definedName>
    <definedName name="__123Graph_BECTOT" localSheetId="0" hidden="1">#REF!</definedName>
    <definedName name="__123Graph_BECTOT" hidden="1">#REF!</definedName>
    <definedName name="__123Graph_BERDOLLAR" hidden="1">'[12]ex rate'!$F$36:$AM$36</definedName>
    <definedName name="__123Graph_BERRUBLE" hidden="1">'[12]ex rate'!$F$37:$AM$37</definedName>
    <definedName name="__123Graph_BEXCH" hidden="1">'[11]CBH old'!#REF!</definedName>
    <definedName name="__123Graph_BGFS.1" hidden="1">[14]GFS!$T$9:$V$9</definedName>
    <definedName name="__123Graph_BGFS.3" hidden="1">[14]GFS!$T$15:$V$15</definedName>
    <definedName name="__123Graph_BGRAPH1" hidden="1">[15]T17_T18_MSURC!$E$832:$I$832</definedName>
    <definedName name="__123Graph_BGRAPH2" localSheetId="21" hidden="1">'[6]Time series'!#REF!</definedName>
    <definedName name="__123Graph_BGRAPH2" localSheetId="1" hidden="1">'[6]Time series'!#REF!</definedName>
    <definedName name="__123Graph_BGRAPH2" localSheetId="0" hidden="1">'[6]Time series'!#REF!</definedName>
    <definedName name="__123Graph_BGRAPH2" hidden="1">'[6]Time series'!#REF!</definedName>
    <definedName name="__123Graph_BGRAPH41" localSheetId="21" hidden="1">'[6]Time series'!#REF!</definedName>
    <definedName name="__123Graph_BGRAPH41" localSheetId="1" hidden="1">'[6]Time series'!#REF!</definedName>
    <definedName name="__123Graph_BGRAPH41" localSheetId="0" hidden="1">'[6]Time series'!#REF!</definedName>
    <definedName name="__123Graph_BGRAPH41" hidden="1">'[6]Time series'!#REF!</definedName>
    <definedName name="__123Graph_BIBRD_LEND" hidden="1">[16]WB!$Q$61:$AK$61</definedName>
    <definedName name="__123Graph_BIMPORTS" hidden="1">'[17]CA input'!#REF!</definedName>
    <definedName name="__123Graph_BINVEST">#N/A</definedName>
    <definedName name="__123Graph_BKUWAIT6">#N/A</definedName>
    <definedName name="__123Graph_BMONEY" hidden="1">'[19]MonSurv-BC'!#REF!</definedName>
    <definedName name="__123Graph_BMONIMP" hidden="1">[18]monimp!$E$38:$N$38</definedName>
    <definedName name="__123Graph_BMSWKLY" hidden="1">[20]interv!#REF!</definedName>
    <definedName name="__123Graph_BMULTVELO" hidden="1">[18]interv!$C$32:$K$32</definedName>
    <definedName name="__123Graph_BPERIB" localSheetId="21" hidden="1">'[6]Time series'!#REF!</definedName>
    <definedName name="__123Graph_BPERIB" localSheetId="1" hidden="1">'[6]Time series'!#REF!</definedName>
    <definedName name="__123Graph_BPERIB" localSheetId="0" hidden="1">'[6]Time series'!#REF!</definedName>
    <definedName name="__123Graph_BPERIB" hidden="1">'[6]Time series'!#REF!</definedName>
    <definedName name="__123Graph_BPIPELINE" hidden="1">[16]BoP!$U$358:$AQ$358</definedName>
    <definedName name="__123Graph_BPRODABSC" localSheetId="21" hidden="1">'[6]Time series'!#REF!</definedName>
    <definedName name="__123Graph_BPRODABSC" localSheetId="1" hidden="1">'[6]Time series'!#REF!</definedName>
    <definedName name="__123Graph_BPRODABSC" localSheetId="0" hidden="1">'[6]Time series'!#REF!</definedName>
    <definedName name="__123Graph_BPRODABSC" hidden="1">'[6]Time series'!#REF!</definedName>
    <definedName name="__123Graph_BPRODABSD" localSheetId="21" hidden="1">'[6]Time series'!#REF!</definedName>
    <definedName name="__123Graph_BPRODABSD" localSheetId="1" hidden="1">'[6]Time series'!#REF!</definedName>
    <definedName name="__123Graph_BPRODABSD" localSheetId="0" hidden="1">'[6]Time series'!#REF!</definedName>
    <definedName name="__123Graph_BPRODABSD" hidden="1">'[6]Time series'!#REF!</definedName>
    <definedName name="__123Graph_BREALRATE" hidden="1">'[12]ex rate'!$F$37:$AU$37</definedName>
    <definedName name="__123Graph_BREER" localSheetId="21" hidden="1">[16]ER!#REF!</definedName>
    <definedName name="__123Graph_BREER" localSheetId="1" hidden="1">[16]ER!#REF!</definedName>
    <definedName name="__123Graph_BREER" localSheetId="0" hidden="1">[16]ER!#REF!</definedName>
    <definedName name="__123Graph_BREER" hidden="1">[16]ER!#REF!</definedName>
    <definedName name="__123Graph_BRER" localSheetId="21" hidden="1">#REF!</definedName>
    <definedName name="__123Graph_BRER" hidden="1">#REF!</definedName>
    <definedName name="__123Graph_BRESCOV" hidden="1">[18]fiscout!$K$146:$K$166</definedName>
    <definedName name="__123Graph_BRESERVES" hidden="1">[7]BOG!#REF!</definedName>
    <definedName name="__123Graph_BRUBRATE" hidden="1">'[12]ex rate'!$K$31:$AN$31</definedName>
    <definedName name="__123Graph_BSEASON_CASH" hidden="1">'[19]MonSurv-BC'!#REF!</definedName>
    <definedName name="__123Graph_BSEASON_MONEY" hidden="1">'[19]MonSurv-BC'!#REF!</definedName>
    <definedName name="__123Graph_BSEASON_TIME" hidden="1">'[19]MonSurv-BC'!#REF!</definedName>
    <definedName name="__123Graph_BSEIGNOR" hidden="1">[21]seignior!#REF!</definedName>
    <definedName name="__123Graph_BTAX1" hidden="1">[14]TAX!$V$22:$X$22</definedName>
    <definedName name="__123Graph_BTRADECPI" localSheetId="21" hidden="1">[22]CPI!#REF!</definedName>
    <definedName name="__123Graph_BTRADECPI" localSheetId="1" hidden="1">[22]CPI!#REF!</definedName>
    <definedName name="__123Graph_BTRADECPI" localSheetId="0" hidden="1">[22]CPI!#REF!</definedName>
    <definedName name="__123Graph_BTRADECPI" hidden="1">[22]CPI!#REF!</definedName>
    <definedName name="__123Graph_BUSRATE" hidden="1">'[12]ex rate'!$K$30:$AN$30</definedName>
    <definedName name="__123Graph_C" hidden="1">[24]Budfin!#REF!</definedName>
    <definedName name="__123Graph_CBERLGRAP" localSheetId="21" hidden="1">'[6]Time series'!#REF!</definedName>
    <definedName name="__123Graph_CBERLGRAP" localSheetId="1" hidden="1">'[6]Time series'!#REF!</definedName>
    <definedName name="__123Graph_CBERLGRAP" localSheetId="0" hidden="1">'[6]Time series'!#REF!</definedName>
    <definedName name="__123Graph_CBERLGRAP" hidden="1">'[6]Time series'!#REF!</definedName>
    <definedName name="__123Graph_CBKSRESRV" localSheetId="21" hidden="1">[7]BOG!#REF!</definedName>
    <definedName name="__123Graph_CBKSRESRV" localSheetId="1" hidden="1">[7]BOG!#REF!</definedName>
    <definedName name="__123Graph_CBKSRESRV" localSheetId="0" hidden="1">[7]BOG!#REF!</definedName>
    <definedName name="__123Graph_CBKSRESRV" hidden="1">[7]BOG!#REF!</definedName>
    <definedName name="__123Graph_CBSYSASST" hidden="1">[18]interv!$C$39:$K$39</definedName>
    <definedName name="__123Graph_CCATCH1" localSheetId="21" hidden="1">'[6]Time series'!#REF!</definedName>
    <definedName name="__123Graph_CCATCH1" localSheetId="1" hidden="1">'[6]Time series'!#REF!</definedName>
    <definedName name="__123Graph_CCATCH1" localSheetId="0" hidden="1">'[6]Time series'!#REF!</definedName>
    <definedName name="__123Graph_CCATCH1" hidden="1">'[6]Time series'!#REF!</definedName>
    <definedName name="__123Graph_CCBAWKLY" localSheetId="21" hidden="1">[20]interv!#REF!</definedName>
    <definedName name="__123Graph_CCBAWKLY" hidden="1">[20]interv!#REF!</definedName>
    <definedName name="__123Graph_CChart1" localSheetId="21" hidden="1">'[3]2'!#REF!</definedName>
    <definedName name="__123Graph_CChart1" localSheetId="1" hidden="1">'[3]2'!#REF!</definedName>
    <definedName name="__123Graph_CChart1" localSheetId="0" hidden="1">'[3]2'!#REF!</definedName>
    <definedName name="__123Graph_CChart1" hidden="1">'[3]2'!#REF!</definedName>
    <definedName name="__123Graph_CChart2" localSheetId="21" hidden="1">'[3]2'!#REF!</definedName>
    <definedName name="__123Graph_CChart2" localSheetId="1" hidden="1">'[3]2'!#REF!</definedName>
    <definedName name="__123Graph_CChart2" localSheetId="0" hidden="1">'[3]2'!#REF!</definedName>
    <definedName name="__123Graph_CChart2" hidden="1">'[3]2'!#REF!</definedName>
    <definedName name="__123Graph_CChart3" localSheetId="1" hidden="1">'[3]2'!#REF!</definedName>
    <definedName name="__123Graph_CChart3" localSheetId="0" hidden="1">'[3]2'!#REF!</definedName>
    <definedName name="__123Graph_CChart3" hidden="1">'[3]2'!#REF!</definedName>
    <definedName name="__123Graph_CCONVERG1" localSheetId="21" hidden="1">#REF!</definedName>
    <definedName name="__123Graph_CCONVERG1" localSheetId="1" hidden="1">#REF!</definedName>
    <definedName name="__123Graph_CCONVERG1" localSheetId="0" hidden="1">#REF!</definedName>
    <definedName name="__123Graph_CCONVERG1" hidden="1">#REF!</definedName>
    <definedName name="__123Graph_CCURRENT" localSheetId="21" hidden="1">'[26]Dep fonct'!#REF!</definedName>
    <definedName name="__123Graph_CCURRENT" localSheetId="1" hidden="1">'[26]Dep fonct'!#REF!</definedName>
    <definedName name="__123Graph_CCURRENT" localSheetId="0" hidden="1">'[26]Dep fonct'!#REF!</definedName>
    <definedName name="__123Graph_CCURRENT" hidden="1">'[26]Dep fonct'!#REF!</definedName>
    <definedName name="__123Graph_CECTOT" localSheetId="21" hidden="1">#REF!</definedName>
    <definedName name="__123Graph_CECTOT" localSheetId="1" hidden="1">#REF!</definedName>
    <definedName name="__123Graph_CECTOT" localSheetId="0" hidden="1">#REF!</definedName>
    <definedName name="__123Graph_CECTOT" hidden="1">#REF!</definedName>
    <definedName name="__123Graph_CGFS.3" hidden="1">[14]GFS!$T$16:$V$16</definedName>
    <definedName name="__123Graph_CGRAPH1" hidden="1">[27]T17_T18_MSURC!$E$834:$I$834</definedName>
    <definedName name="__123Graph_CGRAPH41" localSheetId="21" hidden="1">'[6]Time series'!#REF!</definedName>
    <definedName name="__123Graph_CGRAPH41" localSheetId="1" hidden="1">'[6]Time series'!#REF!</definedName>
    <definedName name="__123Graph_CGRAPH41" localSheetId="0" hidden="1">'[6]Time series'!#REF!</definedName>
    <definedName name="__123Graph_CGRAPH41" hidden="1">'[6]Time series'!#REF!</definedName>
    <definedName name="__123Graph_CGRAPH44" localSheetId="21" hidden="1">'[6]Time series'!#REF!</definedName>
    <definedName name="__123Graph_CGRAPH44" localSheetId="1" hidden="1">'[6]Time series'!#REF!</definedName>
    <definedName name="__123Graph_CGRAPH44" localSheetId="0" hidden="1">'[6]Time series'!#REF!</definedName>
    <definedName name="__123Graph_CGRAPH44" hidden="1">'[6]Time series'!#REF!</definedName>
    <definedName name="__123Graph_CIMPORTS" localSheetId="21" hidden="1">#REF!</definedName>
    <definedName name="__123Graph_CIMPORTS" localSheetId="1" hidden="1">#REF!</definedName>
    <definedName name="__123Graph_CIMPORTS" localSheetId="0" hidden="1">#REF!</definedName>
    <definedName name="__123Graph_CIMPORTS" hidden="1">#REF!</definedName>
    <definedName name="__123Graph_CMONEY" localSheetId="21" hidden="1">'[19]MonSurv-BC'!#REF!</definedName>
    <definedName name="__123Graph_CMONEY" localSheetId="1" hidden="1">'[19]MonSurv-BC'!#REF!</definedName>
    <definedName name="__123Graph_CMONEY" localSheetId="0" hidden="1">'[19]MonSurv-BC'!#REF!</definedName>
    <definedName name="__123Graph_CMONEY" hidden="1">'[19]MonSurv-BC'!#REF!</definedName>
    <definedName name="__123Graph_CMONIMP" localSheetId="21" hidden="1">#REF!</definedName>
    <definedName name="__123Graph_CMONIMP" hidden="1">#REF!</definedName>
    <definedName name="__123Graph_CMSWKLY" localSheetId="21" hidden="1">#REF!</definedName>
    <definedName name="__123Graph_CMSWKLY" hidden="1">#REF!</definedName>
    <definedName name="__123Graph_CPERIA" localSheetId="21" hidden="1">'[6]Time series'!#REF!</definedName>
    <definedName name="__123Graph_CPERIA" localSheetId="1" hidden="1">'[6]Time series'!#REF!</definedName>
    <definedName name="__123Graph_CPERIA" localSheetId="0" hidden="1">'[6]Time series'!#REF!</definedName>
    <definedName name="__123Graph_CPERIA" hidden="1">'[6]Time series'!#REF!</definedName>
    <definedName name="__123Graph_CPERIB" localSheetId="21" hidden="1">'[6]Time series'!#REF!</definedName>
    <definedName name="__123Graph_CPERIB" localSheetId="1" hidden="1">'[6]Time series'!#REF!</definedName>
    <definedName name="__123Graph_CPERIB" localSheetId="0" hidden="1">'[6]Time series'!#REF!</definedName>
    <definedName name="__123Graph_CPERIB" hidden="1">'[6]Time series'!#REF!</definedName>
    <definedName name="__123Graph_CPRODABSC" localSheetId="1" hidden="1">'[6]Time series'!#REF!</definedName>
    <definedName name="__123Graph_CPRODABSC" localSheetId="0" hidden="1">'[6]Time series'!#REF!</definedName>
    <definedName name="__123Graph_CPRODABSC" hidden="1">'[6]Time series'!#REF!</definedName>
    <definedName name="__123Graph_CPRODTRE2" localSheetId="1" hidden="1">'[6]Time series'!#REF!</definedName>
    <definedName name="__123Graph_CPRODTRE2" localSheetId="0" hidden="1">'[6]Time series'!#REF!</definedName>
    <definedName name="__123Graph_CPRODTRE2" hidden="1">'[6]Time series'!#REF!</definedName>
    <definedName name="__123Graph_CPRODTREND" hidden="1">'[6]Time series'!#REF!</definedName>
    <definedName name="__123Graph_CREER" hidden="1">[16]ER!#REF!</definedName>
    <definedName name="__123Graph_CRER" localSheetId="21" hidden="1">#REF!</definedName>
    <definedName name="__123Graph_CRER" hidden="1">#REF!</definedName>
    <definedName name="__123Graph_CRESCOV" hidden="1">[18]fiscout!$I$146:$I$166</definedName>
    <definedName name="__123Graph_CRESERVES" hidden="1">[7]BOG!#REF!</definedName>
    <definedName name="__123Graph_CSEASON_CASH" hidden="1">'[19]MonSurv-BC'!#REF!</definedName>
    <definedName name="__123Graph_CSEASON_MONEY" hidden="1">'[19]MonSurv-BC'!#REF!</definedName>
    <definedName name="__123Graph_CSEASON_SIGHT" hidden="1">'[19]MonSurv-BC'!#REF!</definedName>
    <definedName name="__123Graph_CSEASON_TIME" hidden="1">'[19]MonSurv-BC'!#REF!</definedName>
    <definedName name="__123Graph_CTAX1" hidden="1">[14]TAX!$V$23:$X$23</definedName>
    <definedName name="__123Graph_CUTRECHT" localSheetId="21" hidden="1">'[6]Time series'!#REF!</definedName>
    <definedName name="__123Graph_CUTRECHT" localSheetId="1" hidden="1">'[6]Time series'!#REF!</definedName>
    <definedName name="__123Graph_CUTRECHT" localSheetId="0" hidden="1">'[6]Time series'!#REF!</definedName>
    <definedName name="__123Graph_CUTRECHT" hidden="1">'[6]Time series'!#REF!</definedName>
    <definedName name="__123Graph_CXRATE" hidden="1">[23]data!$V$125:$V$243</definedName>
    <definedName name="__123Graph_D" localSheetId="21" hidden="1">[24]Budfin!#REF!</definedName>
    <definedName name="__123Graph_D" localSheetId="1" hidden="1">#REF!</definedName>
    <definedName name="__123Graph_D" localSheetId="0" hidden="1">#REF!</definedName>
    <definedName name="__123Graph_D" hidden="1">[24]Budfin!#REF!</definedName>
    <definedName name="__123Graph_DBERLGRAP" localSheetId="21" hidden="1">'[6]Time series'!#REF!</definedName>
    <definedName name="__123Graph_DBERLGRAP" localSheetId="1" hidden="1">'[6]Time series'!#REF!</definedName>
    <definedName name="__123Graph_DBERLGRAP" localSheetId="0" hidden="1">'[6]Time series'!#REF!</definedName>
    <definedName name="__123Graph_DBERLGRAP" hidden="1">'[6]Time series'!#REF!</definedName>
    <definedName name="__123Graph_DCATCH1" localSheetId="21" hidden="1">'[6]Time series'!#REF!</definedName>
    <definedName name="__123Graph_DCATCH1" localSheetId="1" hidden="1">'[6]Time series'!#REF!</definedName>
    <definedName name="__123Graph_DCATCH1" localSheetId="0" hidden="1">'[6]Time series'!#REF!</definedName>
    <definedName name="__123Graph_DCATCH1" hidden="1">'[6]Time series'!#REF!</definedName>
    <definedName name="__123Graph_DChart1" localSheetId="21" hidden="1">'[3]2'!#REF!</definedName>
    <definedName name="__123Graph_DChart1" hidden="1">'[3]2'!#REF!</definedName>
    <definedName name="__123Graph_DChart2" hidden="1">'[3]2'!#REF!</definedName>
    <definedName name="__123Graph_DChart3" hidden="1">'[3]2'!#REF!</definedName>
    <definedName name="__123Graph_DCONVERG1" hidden="1">'[6]Time series'!#REF!</definedName>
    <definedName name="__123Graph_DCPI" hidden="1">[22]CPI!#REF!</definedName>
    <definedName name="__123Graph_DCURRENT" hidden="1">'[26]Dep fonct'!#REF!</definedName>
    <definedName name="__123Graph_DECTOT" localSheetId="21" hidden="1">#REF!</definedName>
    <definedName name="__123Graph_DECTOT" localSheetId="1" hidden="1">#REF!</definedName>
    <definedName name="__123Graph_DECTOT" localSheetId="0" hidden="1">#REF!</definedName>
    <definedName name="__123Graph_DECTOT" hidden="1">#REF!</definedName>
    <definedName name="__123Graph_DEXCH" localSheetId="21" hidden="1">'[11]CBH old'!#REF!</definedName>
    <definedName name="__123Graph_DEXCH" hidden="1">'[11]CBH old'!#REF!</definedName>
    <definedName name="__123Graph_DFISCDEV1">#N/A</definedName>
    <definedName name="__123Graph_DGRAPH1" hidden="1">[27]T17_T18_MSURC!$E$835:$I$835</definedName>
    <definedName name="__123Graph_DGRAPH41" localSheetId="21" hidden="1">'[6]Time series'!#REF!</definedName>
    <definedName name="__123Graph_DGRAPH41" localSheetId="1" hidden="1">'[6]Time series'!#REF!</definedName>
    <definedName name="__123Graph_DGRAPH41" localSheetId="0" hidden="1">'[6]Time series'!#REF!</definedName>
    <definedName name="__123Graph_DGRAPH41" hidden="1">'[6]Time series'!#REF!</definedName>
    <definedName name="__123Graph_DINVEST">#N/A</definedName>
    <definedName name="__123Graph_DKUWAIT5">#N/A</definedName>
    <definedName name="__123Graph_DMIMPMAC" localSheetId="21" hidden="1">#REF!</definedName>
    <definedName name="__123Graph_DMIMPMAC" hidden="1">#REF!</definedName>
    <definedName name="__123Graph_DMONIMP" localSheetId="21" hidden="1">#REF!</definedName>
    <definedName name="__123Graph_DMONIMP" hidden="1">#REF!</definedName>
    <definedName name="__123Graph_DPERIA" localSheetId="21" hidden="1">'[6]Time series'!#REF!</definedName>
    <definedName name="__123Graph_DPERIA" localSheetId="1" hidden="1">'[6]Time series'!#REF!</definedName>
    <definedName name="__123Graph_DPERIA" localSheetId="0" hidden="1">'[6]Time series'!#REF!</definedName>
    <definedName name="__123Graph_DPERIA" hidden="1">'[6]Time series'!#REF!</definedName>
    <definedName name="__123Graph_DPERIB" localSheetId="21" hidden="1">'[6]Time series'!#REF!</definedName>
    <definedName name="__123Graph_DPERIB" localSheetId="1" hidden="1">'[6]Time series'!#REF!</definedName>
    <definedName name="__123Graph_DPERIB" localSheetId="0" hidden="1">'[6]Time series'!#REF!</definedName>
    <definedName name="__123Graph_DPERIB" hidden="1">'[6]Time series'!#REF!</definedName>
    <definedName name="__123Graph_DPRODABSC" localSheetId="21" hidden="1">'[6]Time series'!#REF!</definedName>
    <definedName name="__123Graph_DPRODABSC" localSheetId="1" hidden="1">'[6]Time series'!#REF!</definedName>
    <definedName name="__123Graph_DPRODABSC" localSheetId="0" hidden="1">'[6]Time series'!#REF!</definedName>
    <definedName name="__123Graph_DPRODABSC" hidden="1">'[6]Time series'!#REF!</definedName>
    <definedName name="__123Graph_DSEASON_MONEY" localSheetId="21" hidden="1">'[19]MonSurv-BC'!#REF!</definedName>
    <definedName name="__123Graph_DSEASON_MONEY" localSheetId="1" hidden="1">'[19]MonSurv-BC'!#REF!</definedName>
    <definedName name="__123Graph_DSEASON_MONEY" localSheetId="0" hidden="1">'[19]MonSurv-BC'!#REF!</definedName>
    <definedName name="__123Graph_DSEASON_MONEY" hidden="1">'[19]MonSurv-BC'!#REF!</definedName>
    <definedName name="__123Graph_DSEASON_SIGHT" hidden="1">'[19]MonSurv-BC'!#REF!</definedName>
    <definedName name="__123Graph_DSEASON_TIME" hidden="1">'[19]MonSurv-BC'!#REF!</definedName>
    <definedName name="__123Graph_DTAX1" hidden="1">[14]TAX!$V$24:$X$24</definedName>
    <definedName name="__123Graph_DTRADECPI" localSheetId="21" hidden="1">[22]CPI!#REF!</definedName>
    <definedName name="__123Graph_DTRADECPI" localSheetId="1" hidden="1">[22]CPI!#REF!</definedName>
    <definedName name="__123Graph_DTRADECPI" localSheetId="0" hidden="1">[22]CPI!#REF!</definedName>
    <definedName name="__123Graph_DTRADECPI" hidden="1">[22]CPI!#REF!</definedName>
    <definedName name="__123Graph_DUTRECHT" localSheetId="21" hidden="1">'[6]Time series'!#REF!</definedName>
    <definedName name="__123Graph_DUTRECHT" localSheetId="1" hidden="1">'[6]Time series'!#REF!</definedName>
    <definedName name="__123Graph_DUTRECHT" localSheetId="0" hidden="1">'[6]Time series'!#REF!</definedName>
    <definedName name="__123Graph_DUTRECHT" hidden="1">'[6]Time series'!#REF!</definedName>
    <definedName name="__123Graph_E" localSheetId="21" hidden="1">[24]Budfin!#REF!</definedName>
    <definedName name="__123Graph_E" hidden="1">[24]Budfin!#REF!</definedName>
    <definedName name="__123Graph_EBERLGRAP" localSheetId="21" hidden="1">'[6]Time series'!#REF!</definedName>
    <definedName name="__123Graph_EBERLGRAP" localSheetId="1" hidden="1">'[6]Time series'!#REF!</definedName>
    <definedName name="__123Graph_EBERLGRAP" localSheetId="0" hidden="1">'[6]Time series'!#REF!</definedName>
    <definedName name="__123Graph_EBERLGRAP" hidden="1">'[6]Time series'!#REF!</definedName>
    <definedName name="__123Graph_ECATCH1" localSheetId="21" hidden="1">#REF!</definedName>
    <definedName name="__123Graph_ECATCH1" localSheetId="1" hidden="1">#REF!</definedName>
    <definedName name="__123Graph_ECATCH1" localSheetId="0" hidden="1">#REF!</definedName>
    <definedName name="__123Graph_ECATCH1" hidden="1">#REF!</definedName>
    <definedName name="__123Graph_EChart1" localSheetId="21" hidden="1">'[3]2'!#REF!</definedName>
    <definedName name="__123Graph_EChart1" localSheetId="1" hidden="1">'[3]2'!#REF!</definedName>
    <definedName name="__123Graph_EChart1" localSheetId="0" hidden="1">'[3]2'!#REF!</definedName>
    <definedName name="__123Graph_EChart1" hidden="1">'[3]2'!#REF!</definedName>
    <definedName name="__123Graph_EChart2" localSheetId="21" hidden="1">'[3]2'!#REF!</definedName>
    <definedName name="__123Graph_EChart2" localSheetId="1" hidden="1">'[3]2'!#REF!</definedName>
    <definedName name="__123Graph_EChart2" localSheetId="0" hidden="1">'[3]2'!#REF!</definedName>
    <definedName name="__123Graph_EChart2" hidden="1">'[3]2'!#REF!</definedName>
    <definedName name="__123Graph_EChart3" localSheetId="1" hidden="1">'[3]2'!#REF!</definedName>
    <definedName name="__123Graph_EChart3" localSheetId="0" hidden="1">'[3]2'!#REF!</definedName>
    <definedName name="__123Graph_EChart3" hidden="1">'[3]2'!#REF!</definedName>
    <definedName name="__123Graph_ECONVERG1" localSheetId="1" hidden="1">'[6]Time series'!#REF!</definedName>
    <definedName name="__123Graph_ECONVERG1" localSheetId="0" hidden="1">'[6]Time series'!#REF!</definedName>
    <definedName name="__123Graph_ECONVERG1" hidden="1">'[6]Time series'!#REF!</definedName>
    <definedName name="__123Graph_ECURRENT" localSheetId="1" hidden="1">'[26]Dep fonct'!#REF!</definedName>
    <definedName name="__123Graph_ECURRENT" localSheetId="0" hidden="1">'[26]Dep fonct'!#REF!</definedName>
    <definedName name="__123Graph_ECURRENT" hidden="1">'[26]Dep fonct'!#REF!</definedName>
    <definedName name="__123Graph_EECTOT" localSheetId="21" hidden="1">#REF!</definedName>
    <definedName name="__123Graph_EECTOT" localSheetId="1" hidden="1">#REF!</definedName>
    <definedName name="__123Graph_EECTOT" localSheetId="0" hidden="1">#REF!</definedName>
    <definedName name="__123Graph_EECTOT" hidden="1">#REF!</definedName>
    <definedName name="__123Graph_EEXCH" localSheetId="21" hidden="1">'[11]CBH old'!#REF!</definedName>
    <definedName name="__123Graph_EEXCH" hidden="1">'[11]CBH old'!#REF!</definedName>
    <definedName name="__123Graph_EFISCDEV1">#N/A</definedName>
    <definedName name="__123Graph_EGRAPH1" hidden="1">[27]T17_T18_MSURC!$E$837:$I$837</definedName>
    <definedName name="__123Graph_EGRAPH41" localSheetId="21" hidden="1">'[6]Time series'!#REF!</definedName>
    <definedName name="__123Graph_EGRAPH41" localSheetId="1" hidden="1">'[6]Time series'!#REF!</definedName>
    <definedName name="__123Graph_EGRAPH41" localSheetId="0" hidden="1">'[6]Time series'!#REF!</definedName>
    <definedName name="__123Graph_EGRAPH41" hidden="1">'[6]Time series'!#REF!</definedName>
    <definedName name="__123Graph_EINVEST">#N/A</definedName>
    <definedName name="__123Graph_EKUWAIT5">#N/A</definedName>
    <definedName name="__123Graph_EMIMPMAC" localSheetId="21" hidden="1">#REF!</definedName>
    <definedName name="__123Graph_EMIMPMAC" hidden="1">#REF!</definedName>
    <definedName name="__123Graph_EMONIMP" localSheetId="21" hidden="1">#REF!</definedName>
    <definedName name="__123Graph_EMONIMP" hidden="1">#REF!</definedName>
    <definedName name="__123Graph_EPERIA" localSheetId="21" hidden="1">'[6]Time series'!#REF!</definedName>
    <definedName name="__123Graph_EPERIA" localSheetId="1" hidden="1">'[6]Time series'!#REF!</definedName>
    <definedName name="__123Graph_EPERIA" localSheetId="0" hidden="1">'[6]Time series'!#REF!</definedName>
    <definedName name="__123Graph_EPERIA" hidden="1">'[6]Time series'!#REF!</definedName>
    <definedName name="__123Graph_EPRODABSC" localSheetId="21" hidden="1">'[6]Time series'!#REF!</definedName>
    <definedName name="__123Graph_EPRODABSC" localSheetId="1" hidden="1">'[6]Time series'!#REF!</definedName>
    <definedName name="__123Graph_EPRODABSC" localSheetId="0" hidden="1">'[6]Time series'!#REF!</definedName>
    <definedName name="__123Graph_EPRODABSC" hidden="1">'[6]Time series'!#REF!</definedName>
    <definedName name="__123Graph_ESEASON_CASH" localSheetId="21" hidden="1">'[19]MonSurv-BC'!#REF!</definedName>
    <definedName name="__123Graph_ESEASON_CASH" localSheetId="1" hidden="1">'[19]MonSurv-BC'!#REF!</definedName>
    <definedName name="__123Graph_ESEASON_CASH" localSheetId="0" hidden="1">'[19]MonSurv-BC'!#REF!</definedName>
    <definedName name="__123Graph_ESEASON_CASH" hidden="1">'[19]MonSurv-BC'!#REF!</definedName>
    <definedName name="__123Graph_ESEASON_MONEY" localSheetId="21" hidden="1">'[19]MonSurv-BC'!#REF!</definedName>
    <definedName name="__123Graph_ESEASON_MONEY" localSheetId="1" hidden="1">'[19]MonSurv-BC'!#REF!</definedName>
    <definedName name="__123Graph_ESEASON_MONEY" localSheetId="0" hidden="1">'[19]MonSurv-BC'!#REF!</definedName>
    <definedName name="__123Graph_ESEASON_MONEY" hidden="1">'[19]MonSurv-BC'!#REF!</definedName>
    <definedName name="__123Graph_ESEASON_TIME" hidden="1">'[19]MonSurv-BC'!#REF!</definedName>
    <definedName name="__123Graph_ETAX1" hidden="1">[14]TAX!$V$26:$X$26</definedName>
    <definedName name="__123Graph_F" localSheetId="21" hidden="1">'[28]Table SR'!#REF!</definedName>
    <definedName name="__123Graph_F" localSheetId="1" hidden="1">'[28]Table SR'!#REF!</definedName>
    <definedName name="__123Graph_F" localSheetId="0" hidden="1">'[28]Table SR'!#REF!</definedName>
    <definedName name="__123Graph_F" hidden="1">'[28]Table SR'!#REF!</definedName>
    <definedName name="__123Graph_FBERLGRAP" localSheetId="21" hidden="1">'[6]Time series'!#REF!</definedName>
    <definedName name="__123Graph_FBERLGRAP" localSheetId="1" hidden="1">'[6]Time series'!#REF!</definedName>
    <definedName name="__123Graph_FBERLGRAP" localSheetId="0" hidden="1">'[6]Time series'!#REF!</definedName>
    <definedName name="__123Graph_FBERLGRAP" hidden="1">'[6]Time series'!#REF!</definedName>
    <definedName name="__123Graph_FChart1" localSheetId="21" hidden="1">'[3]2'!#REF!</definedName>
    <definedName name="__123Graph_FChart1" localSheetId="1" hidden="1">'[3]2'!#REF!</definedName>
    <definedName name="__123Graph_FChart1" localSheetId="0" hidden="1">'[3]2'!#REF!</definedName>
    <definedName name="__123Graph_FChart1" hidden="1">'[3]2'!#REF!</definedName>
    <definedName name="__123Graph_FChart2" localSheetId="21" hidden="1">'[3]2'!#REF!</definedName>
    <definedName name="__123Graph_FChart2" localSheetId="1" hidden="1">'[3]2'!#REF!</definedName>
    <definedName name="__123Graph_FChart2" localSheetId="0" hidden="1">'[3]2'!#REF!</definedName>
    <definedName name="__123Graph_FChart2" hidden="1">'[3]2'!#REF!</definedName>
    <definedName name="__123Graph_FChart3" hidden="1">'[3]2'!#REF!</definedName>
    <definedName name="__123Graph_FCurrent" hidden="1">'[3]2'!#REF!</definedName>
    <definedName name="__123Graph_FGRAPH1" hidden="1">[27]T17_T18_MSURC!$E$838:$I$838</definedName>
    <definedName name="__123Graph_FGRAPH41" localSheetId="21" hidden="1">'[6]Time series'!#REF!</definedName>
    <definedName name="__123Graph_FGRAPH41" localSheetId="1" hidden="1">'[6]Time series'!#REF!</definedName>
    <definedName name="__123Graph_FGRAPH41" localSheetId="0" hidden="1">'[6]Time series'!#REF!</definedName>
    <definedName name="__123Graph_FGRAPH41" hidden="1">'[6]Time series'!#REF!</definedName>
    <definedName name="__123Graph_FMONIMP" localSheetId="21" hidden="1">#REF!</definedName>
    <definedName name="__123Graph_FMONIMP" hidden="1">#REF!</definedName>
    <definedName name="__123Graph_FPRODABSC" localSheetId="21" hidden="1">'[6]Time series'!#REF!</definedName>
    <definedName name="__123Graph_FPRODABSC" hidden="1">'[6]Time series'!#REF!</definedName>
    <definedName name="__123Graph_X" localSheetId="21" hidden="1">#REF!</definedName>
    <definedName name="__123Graph_X" localSheetId="1" hidden="1">#REF!</definedName>
    <definedName name="__123Graph_X" localSheetId="0" hidden="1">#REF!</definedName>
    <definedName name="__123Graph_X" hidden="1">#REF!</definedName>
    <definedName name="__123Graph_XBKSRESRV" localSheetId="21" hidden="1">[7]BOG!#REF!</definedName>
    <definedName name="__123Graph_XBKSRESRV" localSheetId="1" hidden="1">[7]BOG!#REF!</definedName>
    <definedName name="__123Graph_XBKSRESRV" localSheetId="0" hidden="1">[7]BOG!#REF!</definedName>
    <definedName name="__123Graph_XBKSRESRV" hidden="1">[7]BOG!#REF!</definedName>
    <definedName name="__123Graph_XBSYSASST" localSheetId="21" hidden="1">#REF!</definedName>
    <definedName name="__123Graph_XBSYSASST" hidden="1">#REF!</definedName>
    <definedName name="__123Graph_XCBASSETS" localSheetId="21" hidden="1">#REF!</definedName>
    <definedName name="__123Graph_XCBASSETS" hidden="1">#REF!</definedName>
    <definedName name="__123Graph_XCBAWKLY" localSheetId="21" hidden="1">#REF!</definedName>
    <definedName name="__123Graph_XCBAWKLY" hidden="1">#REF!</definedName>
    <definedName name="__123Graph_XChart1" localSheetId="21" hidden="1">'[29]Summary BOP'!#REF!</definedName>
    <definedName name="__123Graph_XChart1" localSheetId="1" hidden="1">'[29]Summary BOP'!#REF!</definedName>
    <definedName name="__123Graph_XChart1" localSheetId="0" hidden="1">'[29]Summary BOP'!#REF!</definedName>
    <definedName name="__123Graph_XChart1" hidden="1">'[29]Summary BOP'!#REF!</definedName>
    <definedName name="__123Graph_XCREDIT" localSheetId="21" hidden="1">'[19]MonSurv-BC'!#REF!</definedName>
    <definedName name="__123Graph_XCREDIT" localSheetId="1" hidden="1">'[19]MonSurv-BC'!#REF!</definedName>
    <definedName name="__123Graph_XCREDIT" localSheetId="0" hidden="1">'[19]MonSurv-BC'!#REF!</definedName>
    <definedName name="__123Graph_XCREDIT" hidden="1">'[19]MonSurv-BC'!#REF!</definedName>
    <definedName name="__123Graph_XCurrent" hidden="1">[10]CPIINDEX!$B$263:$B$310</definedName>
    <definedName name="__123Graph_XECTOT" localSheetId="21" hidden="1">#REF!</definedName>
    <definedName name="__123Graph_XECTOT" localSheetId="1" hidden="1">#REF!</definedName>
    <definedName name="__123Graph_XECTOT" localSheetId="0" hidden="1">#REF!</definedName>
    <definedName name="__123Graph_XECTOT" hidden="1">#REF!</definedName>
    <definedName name="__123Graph_XERDOLLAR" hidden="1">'[12]ex rate'!$F$15:$AM$15</definedName>
    <definedName name="__123Graph_XERRUBLE" hidden="1">'[12]ex rate'!$F$15:$AM$15</definedName>
    <definedName name="__123Graph_XFOODL" hidden="1">[30]MonS!#REF!</definedName>
    <definedName name="__123Graph_XGFS.1" hidden="1">[14]GFS!$T$6:$V$6</definedName>
    <definedName name="__123Graph_XGFS.3" hidden="1">[14]GFS!$T$6:$V$6</definedName>
    <definedName name="__123Graph_XGRAPH1" hidden="1">[27]T17_T18_MSURC!$E$829:$I$829</definedName>
    <definedName name="__123Graph_XIBRD_LEND" hidden="1">[16]WB!$Q$9:$AK$9</definedName>
    <definedName name="__123Graph_XIMPORTS" hidden="1">'[17]CA input'!#REF!</definedName>
    <definedName name="__123Graph_XMIMPMAC" localSheetId="21" hidden="1">#REF!</definedName>
    <definedName name="__123Graph_XMIMPMAC" hidden="1">#REF!</definedName>
    <definedName name="__123Graph_XMSWKLY" localSheetId="21" hidden="1">#REF!</definedName>
    <definedName name="__123Graph_XMSWKLY" hidden="1">#REF!</definedName>
    <definedName name="__123Graph_XRUBRATE" hidden="1">'[12]ex rate'!$K$15:$AN$15</definedName>
    <definedName name="__123Graph_XTAX1" hidden="1">[14]TAX!$V$4:$X$4</definedName>
    <definedName name="__123Graph_XUSRATE" hidden="1">'[12]ex rate'!$K$15:$AN$15</definedName>
    <definedName name="__123Graph_XXRATE" hidden="1">[23]data!$AE$124:$AE$242</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'[31]Time series'!#REF!</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{"mt1",#N/A,FALSE,"Debt";"mt2",#N/A,FALSE,"Debt";"mt3",#N/A,FALSE,"Debt";"mt4",#N/A,FALSE,"Debt";"mt5",#N/A,FALSE,"Debt";"mt6",#N/A,FALSE,"Debt";"mt7",#N/A,FALSE,"Debt"}</definedName>
    <definedName name="__gt4">{#N/A,#N/A,FALSE,"DOC";"TB_28",#N/A,FALSE,"FITB_28";"TB_91",#N/A,FALSE,"FITB_91";"TB_182",#N/A,FALSE,"FITB_182";"TB_273",#N/A,FALSE,"FITB_273";"TB_364",#N/A,FALSE,"FITB_364 ";"SUMMARY",#N/A,FALSE,"Summary"}</definedName>
    <definedName name="__key2" hidden="1">'[32]CROSS-BEAL'!#REF!</definedName>
    <definedName name="__lyf5">{#N/A,#N/A,FALSE,"PUBLEXP"}</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qqq1">{#N/A,#N/A,FALSE,"EXTRABUDGT"}</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3">"Check Box 8"</definedName>
    <definedName name="__red4">#REF!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nm._FilterDatabase">[33]C!$P$428:$T$428</definedName>
    <definedName name="__xlnm.Print_Titles">([34]SUMMARY!$B$1:$D$65536,[34]SUMMARY!$A$3:$IV$5)</definedName>
    <definedName name="__YR90">'[5]Imp:DSA output'!$D$9:$D$464</definedName>
    <definedName name="__YR91">'[5]Imp:DSA output'!$E$9:$E$464</definedName>
    <definedName name="__YR92">'[5]Imp:DSA output'!$F$9:$F$464</definedName>
    <definedName name="__YR93">'[5]Imp:DSA output'!$G$9:$G$464</definedName>
    <definedName name="__YR94">'[5]Imp:DSA output'!$H$9:$H$464</definedName>
    <definedName name="__YR95">'[5]Imp:DSA output'!$I$9:$I$464</definedName>
    <definedName name="_1___123Graph_AChart_1A" hidden="1">[10]CPIINDEX!$O$263:$O$310</definedName>
    <definedName name="_1__123Graph_ACHART_1" hidden="1">[35]A!$C$31:$AJ$31</definedName>
    <definedName name="_1__123Graph_AChart_1A" hidden="1">[36]CPIINDEX!$O$263:$O$310</definedName>
    <definedName name="_10___123Graph_XChart_3A" hidden="1">[10]CPIINDEX!$B$203:$B$310</definedName>
    <definedName name="_10__123Graph_BChart_1A" hidden="1">[37]CPIINDEX!$S$263:$S$310</definedName>
    <definedName name="_10__123Graph_BCHART_2" hidden="1">[38]A!$C$36:$AJ$36</definedName>
    <definedName name="_10__123Graph_CCHART_2" hidden="1">[38]A!$C$38:$AJ$38</definedName>
    <definedName name="_10__123Graph_CChart_2A" hidden="1">[39]ecpa!$O$6:$Z$6</definedName>
    <definedName name="_10__123Graph_XChart_1A" hidden="1">[40]CPIINDEX!$B$263:$B$310</definedName>
    <definedName name="_10__123Graph_XChart_2A" hidden="1">[41]CPIINDEX!$B$203:$B$310</definedName>
    <definedName name="_10__123Graph_XChart_3A" hidden="1">[41]CPIINDEX!$B$203:$B$310</definedName>
    <definedName name="_103__123Graph_BSEIGNOR" localSheetId="21" hidden="1">[21]seignior!#REF!</definedName>
    <definedName name="_103__123Graph_BSEIGNOR" localSheetId="1" hidden="1">[21]seignior!#REF!</definedName>
    <definedName name="_103__123Graph_BSEIGNOR" localSheetId="0" hidden="1">[21]seignior!#REF!</definedName>
    <definedName name="_103__123Graph_BSEIGNOR" hidden="1">[21]seignior!#REF!</definedName>
    <definedName name="_104__123Graph_BWB_ADJ_PRJ" hidden="1">[16]WB!$Q$257:$AK$257</definedName>
    <definedName name="_105__123Graph_CMIMPMA_0" localSheetId="21" hidden="1">#REF!</definedName>
    <definedName name="_105__123Graph_CMIMPMA_0" localSheetId="1" hidden="1">#REF!</definedName>
    <definedName name="_105__123Graph_CMIMPMA_0" localSheetId="0" hidden="1">#REF!</definedName>
    <definedName name="_105__123Graph_CMIMPMA_0" hidden="1">#REF!</definedName>
    <definedName name="_11___123Graph_XChart_4A" hidden="1">[10]CPIINDEX!$B$239:$B$298</definedName>
    <definedName name="_11__123Graph_AWB_ADJ_PRJ" hidden="1">[42]WB!$Q$255:$AK$255</definedName>
    <definedName name="_11__123Graph_CChart_3A" hidden="1">[39]ecpa!$AC$6:$AN$6</definedName>
    <definedName name="_11__123Graph_XCHART_1" hidden="1">[38]A!$C$5:$AJ$5</definedName>
    <definedName name="_11__123Graph_XChart_2A" hidden="1">[40]CPIINDEX!$B$203:$B$310</definedName>
    <definedName name="_11__123Graph_XChart_3A" hidden="1">[41]CPIINDEX!$B$203:$B$310</definedName>
    <definedName name="_11__123Graph_XChart_4A" hidden="1">[41]CPIINDEX!$B$239:$B$298</definedName>
    <definedName name="_11_0ju" localSheetId="21" hidden="1">#REF!</definedName>
    <definedName name="_11_0ju" localSheetId="1" hidden="1">#REF!</definedName>
    <definedName name="_11_0ju" localSheetId="0" hidden="1">#REF!</definedName>
    <definedName name="_11_0ju" hidden="1">#REF!</definedName>
    <definedName name="_116__123Graph_DGROWTH_CPI" localSheetId="21" hidden="1">[43]Data!#REF!</definedName>
    <definedName name="_116__123Graph_DGROWTH_CPI" localSheetId="1" hidden="1">[43]Data!#REF!</definedName>
    <definedName name="_116__123Graph_DGROWTH_CPI" localSheetId="0" hidden="1">[43]Data!#REF!</definedName>
    <definedName name="_116__123Graph_DGROWTH_CPI" hidden="1">[43]Data!#REF!</definedName>
    <definedName name="_117__123Graph_DMIMPMA_1" localSheetId="21" hidden="1">#REF!</definedName>
    <definedName name="_117__123Graph_DMIMPMA_1" localSheetId="1" hidden="1">#REF!</definedName>
    <definedName name="_117__123Graph_DMIMPMA_1" localSheetId="0" hidden="1">#REF!</definedName>
    <definedName name="_117__123Graph_DMIMPMA_1" hidden="1">#REF!</definedName>
    <definedName name="_118__123Graph_EMIMPMA_0" localSheetId="21" hidden="1">#REF!</definedName>
    <definedName name="_118__123Graph_EMIMPMA_0" localSheetId="1" hidden="1">#REF!</definedName>
    <definedName name="_118__123Graph_EMIMPMA_0" localSheetId="0" hidden="1">#REF!</definedName>
    <definedName name="_118__123Graph_EMIMPMA_0" hidden="1">#REF!</definedName>
    <definedName name="_119__123Graph_EMIMPMA_1" localSheetId="21" hidden="1">#REF!</definedName>
    <definedName name="_119__123Graph_EMIMPMA_1" localSheetId="1" hidden="1">#REF!</definedName>
    <definedName name="_119__123Graph_EMIMPMA_1" localSheetId="0" hidden="1">#REF!</definedName>
    <definedName name="_119__123Graph_EMIMPMA_1" hidden="1">#REF!</definedName>
    <definedName name="_12__123Graph_AWB_ADJ_PRJ" hidden="1">[42]WB!$Q$255:$AK$255</definedName>
    <definedName name="_12__123Graph_BCHART_1" hidden="1">[38]A!$C$28:$AJ$28</definedName>
    <definedName name="_12__123Graph_CCHART_1" hidden="1">[38]A!$C$24:$AJ$24</definedName>
    <definedName name="_12__123Graph_DChart_1A" hidden="1">[39]ecpa!$B$7:$M$7</definedName>
    <definedName name="_12__123Graph_XChart_1A" hidden="1">[36]CPIINDEX!$B$263:$B$310</definedName>
    <definedName name="_12__123Graph_XCHART_2" hidden="1">[38]A!$C$39:$AJ$39</definedName>
    <definedName name="_12__123Graph_XChart_3A" hidden="1">[40]CPIINDEX!$B$203:$B$310</definedName>
    <definedName name="_12__123Graph_XChart_4A" hidden="1">[41]CPIINDEX!$B$239:$B$298</definedName>
    <definedName name="_120__123Graph_FMIMPMA_0" localSheetId="21" hidden="1">#REF!</definedName>
    <definedName name="_120__123Graph_FMIMPMA_0" localSheetId="1" hidden="1">#REF!</definedName>
    <definedName name="_120__123Graph_FMIMPMA_0" localSheetId="0" hidden="1">#REF!</definedName>
    <definedName name="_120__123Graph_FMIMPMA_0" hidden="1">#REF!</definedName>
    <definedName name="_121__123Graph_XCHART_2" hidden="1">[44]IPC1988!$A$176:$A$182</definedName>
    <definedName name="_122__123Graph_XMIMPMA_0" localSheetId="21" hidden="1">#REF!</definedName>
    <definedName name="_122__123Graph_XMIMPMA_0" localSheetId="1" hidden="1">#REF!</definedName>
    <definedName name="_122__123Graph_XMIMPMA_0" localSheetId="0" hidden="1">#REF!</definedName>
    <definedName name="_122__123Graph_XMIMPMA_0" hidden="1">#REF!</definedName>
    <definedName name="_123__123Graph_XR_BMONEY" localSheetId="21" hidden="1">#REF!</definedName>
    <definedName name="_123__123Graph_XR_BMONEY" localSheetId="1" hidden="1">#REF!</definedName>
    <definedName name="_123__123Graph_XR_BMONEY" localSheetId="0" hidden="1">#REF!</definedName>
    <definedName name="_123__123Graph_XR_BMONEY" hidden="1">#REF!</definedName>
    <definedName name="_1234graph_b" hidden="1">[45]GFS!$T$15:$V$15</definedName>
    <definedName name="_123Graph_A1" localSheetId="21" hidden="1">#REF!</definedName>
    <definedName name="_123Graph_A1" localSheetId="1" hidden="1">#REF!</definedName>
    <definedName name="_123Graph_A1" localSheetId="0" hidden="1">#REF!</definedName>
    <definedName name="_123Graph_A1" hidden="1">#REF!</definedName>
    <definedName name="_123graph_b" localSheetId="21" hidden="1">[46]A!#REF!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no" hidden="1">'[26]Dep fonct'!#REF!</definedName>
    <definedName name="_13__123Graph_BCHART_1" hidden="1">[38]A!$C$28:$AJ$28</definedName>
    <definedName name="_13__123Graph_BCHART_2" hidden="1">[38]A!$C$36:$AJ$36</definedName>
    <definedName name="_13__123Graph_CCHART_2" hidden="1">[38]A!$C$38:$AJ$38</definedName>
    <definedName name="_13__123Graph_DChart_2A" hidden="1">[39]ecpa!$O$7:$Z$7</definedName>
    <definedName name="_13__123Graph_XChart_2A" hidden="1">[36]CPIINDEX!$B$203:$B$310</definedName>
    <definedName name="_13__123Graph_XChart_4A" hidden="1">[40]CPIINDEX!$B$239:$B$298</definedName>
    <definedName name="_134__123Graph_XREALEX_WAGE" localSheetId="21" hidden="1">[47]PRIVATE!#REF!</definedName>
    <definedName name="_134__123Graph_XREALEX_WAGE" localSheetId="1" hidden="1">[47]PRIVATE!#REF!</definedName>
    <definedName name="_134__123Graph_XREALEX_WAGE" localSheetId="0" hidden="1">[47]PRIVATE!#REF!</definedName>
    <definedName name="_134__123Graph_XREALEX_WAGE" hidden="1">[47]PRIVATE!#REF!</definedName>
    <definedName name="_14__123Graph_BCHART_2" hidden="1">[38]A!$C$36:$AJ$36</definedName>
    <definedName name="_14__123Graph_BWB_ADJ_PRJ" hidden="1">[42]WB!$Q$257:$AK$257</definedName>
    <definedName name="_14__123Graph_DChart_3A" hidden="1">[39]ecpa!$AC$7:$AN$7</definedName>
    <definedName name="_14__123Graph_XCHART_1" hidden="1">[38]A!$C$5:$AJ$5</definedName>
    <definedName name="_14__123Graph_XChart_1A" hidden="1">[36]CPIINDEX!$B$263:$B$310</definedName>
    <definedName name="_14__123Graph_XChart_3A" hidden="1">[36]CPIINDEX!$B$203:$B$310</definedName>
    <definedName name="_15__123Graph_CCHART_1" hidden="1">[38]A!$C$24:$AJ$24</definedName>
    <definedName name="_15__123Graph_EChart_1A" hidden="1">[39]ecpa!$B$8:$M$8</definedName>
    <definedName name="_15__123Graph_XCHART_2" hidden="1">[38]A!$C$39:$AJ$39</definedName>
    <definedName name="_15__123Graph_XChart_2A" hidden="1">[36]CPIINDEX!$B$203:$B$310</definedName>
    <definedName name="_15__123Graph_XChart_4A" hidden="1">[36]CPIINDEX!$B$239:$B$298</definedName>
    <definedName name="_16__123Graph_CCHART_2" hidden="1">[38]A!$C$38:$AJ$38</definedName>
    <definedName name="_16__123Graph_EChart_2A" hidden="1">[39]ecpa!$O$8:$Z$8</definedName>
    <definedName name="_16__123Graph_XChart_1A" hidden="1">[41]CPIINDEX!$B$263:$B$310</definedName>
    <definedName name="_16__123Graph_XChart_3A" hidden="1">[36]CPIINDEX!$B$203:$B$310</definedName>
    <definedName name="_165_0ju" localSheetId="21" hidden="1">#REF!</definedName>
    <definedName name="_165_0ju" localSheetId="1" hidden="1">#REF!</definedName>
    <definedName name="_165_0ju" localSheetId="0" hidden="1">#REF!</definedName>
    <definedName name="_165_0ju" hidden="1">#REF!</definedName>
    <definedName name="_17__123Graph_EChart_3A" hidden="1">[39]ecpa!$AC$8:$AN$8</definedName>
    <definedName name="_17__123Graph_XCHART_1" hidden="1">[38]A!$C$5:$AJ$5</definedName>
    <definedName name="_17__123Graph_XChart_4A" hidden="1">[36]CPIINDEX!$B$239:$B$298</definedName>
    <definedName name="_18__123Graph_FChart_1A" hidden="1">[39]ecpa!$B$9:$M$9</definedName>
    <definedName name="_18__123Graph_XChart_1A" hidden="1">[37]CPIINDEX!$B$263:$B$310</definedName>
    <definedName name="_18__123Graph_XCHART_2" hidden="1">[38]A!$C$39:$AJ$39</definedName>
    <definedName name="_18__123Graph_XChart_2A" hidden="1">[41]CPIINDEX!$B$203:$B$310</definedName>
    <definedName name="_19__123Graph_FChart_2A" hidden="1">[39]ecpa!$O$9:$Z$9</definedName>
    <definedName name="_1995M1">#REF!</definedName>
    <definedName name="_1Macros_Import_.qbop">[48]!'[Macros Import].qbop'</definedName>
    <definedName name="_2___123Graph_AChart_2A" hidden="1">[10]CPIINDEX!$K$203:$K$304</definedName>
    <definedName name="_2__123Graph_AChart_1A" hidden="1">[37]CPIINDEX!$O$263:$O$310</definedName>
    <definedName name="_2__123Graph_ACHART_2" hidden="1">[35]A!$C$31:$AJ$31</definedName>
    <definedName name="_2__123Graph_AChart_2A" hidden="1">[36]CPIINDEX!$K$203:$K$304</definedName>
    <definedName name="_2__123Graph_ACHART_8" localSheetId="21" hidden="1">#REF!</definedName>
    <definedName name="_2__123Graph_ACHART_8" localSheetId="1" hidden="1">#REF!</definedName>
    <definedName name="_2__123Graph_ACHART_8" localSheetId="0" hidden="1">#REF!</definedName>
    <definedName name="_2__123Graph_ACHART_8" hidden="1">#REF!</definedName>
    <definedName name="_2__123Graph_BCHART_1A" hidden="1">[23]data!$K$13:$K$91</definedName>
    <definedName name="_20__123Graph_BWB_ADJ_PRJ" hidden="1">[42]WB!$Q$257:$AK$257</definedName>
    <definedName name="_20__123Graph_FChart_3A" hidden="1">[39]ecpa!$AC$9:$AN$9</definedName>
    <definedName name="_20__123Graph_XChart_2A" hidden="1">[37]CPIINDEX!$B$203:$B$310</definedName>
    <definedName name="_20__123Graph_XChart_3A" hidden="1">[41]CPIINDEX!$B$203:$B$310</definedName>
    <definedName name="_21__123Graph_BWB_ADJ_PRJ" hidden="1">[42]WB!$Q$257:$AK$257</definedName>
    <definedName name="_21__123Graph_CCHART_1" hidden="1">[38]A!$C$24:$AJ$24</definedName>
    <definedName name="_21__123Graph_XChart_1A" hidden="1">[39]ecpa!$B$3:$M$3</definedName>
    <definedName name="_22__123Graph_CCHART_1" hidden="1">[38]A!$C$24:$AJ$24</definedName>
    <definedName name="_22__123Graph_CCHART_2" hidden="1">[38]A!$C$38:$AJ$38</definedName>
    <definedName name="_22__123Graph_XChart_2A" hidden="1">[39]ecpa!$O$3:$W$3</definedName>
    <definedName name="_22__123Graph_XChart_3A" hidden="1">[37]CPIINDEX!$B$203:$B$310</definedName>
    <definedName name="_22__123Graph_XChart_4A" hidden="1">[41]CPIINDEX!$B$239:$B$298</definedName>
    <definedName name="_23__123Graph_CCHART_2" hidden="1">[38]A!$C$38:$AJ$38</definedName>
    <definedName name="_23__123Graph_XCHART_1" hidden="1">[38]A!$C$5:$AJ$5</definedName>
    <definedName name="_23__123Graph_XChart_3A" hidden="1">[39]ecpa!$AC$3:$AN$3</definedName>
    <definedName name="_24__123Graph_ACHART_1" hidden="1">[44]IPC1988!$C$176:$C$182</definedName>
    <definedName name="_24__123Graph_XCHART_1" hidden="1">[38]A!$C$5:$AJ$5</definedName>
    <definedName name="_24__123Graph_XCHART_2" hidden="1">[38]A!$C$39:$AJ$39</definedName>
    <definedName name="_24__123Graph_XChart_4A" hidden="1">[37]CPIINDEX!$B$239:$B$298</definedName>
    <definedName name="_25__123Graph_ACHART_2" hidden="1">[44]IPC1988!$B$176:$B$182</definedName>
    <definedName name="_25__123Graph_XCHART_2" hidden="1">[38]A!$C$39:$AJ$39</definedName>
    <definedName name="_2Macros_Import_.qbop">[48]!'[Macros Import].qbop'</definedName>
    <definedName name="_3___123Graph_AChart_3A" hidden="1">[10]CPIINDEX!$O$203:$O$304</definedName>
    <definedName name="_3__123Graph_ACHART_1" hidden="1">[38]A!$C$31:$AJ$31</definedName>
    <definedName name="_3__123Graph_AChart_2A" hidden="1">[41]CPIINDEX!$K$203:$K$304</definedName>
    <definedName name="_3__123Graph_AChart_3A" hidden="1">[36]CPIINDEX!$O$203:$O$304</definedName>
    <definedName name="_3__123Graph_ACPI_ER_LOG" hidden="1">[49]ER!#REF!</definedName>
    <definedName name="_3__123Graph_AGROWTH_CPI" localSheetId="21" hidden="1">[50]Data!#REF!</definedName>
    <definedName name="_3__123Graph_AGROWTH_CPI" localSheetId="1" hidden="1">[50]Data!#REF!</definedName>
    <definedName name="_3__123Graph_AGROWTH_CPI" localSheetId="0" hidden="1">[50]Data!#REF!</definedName>
    <definedName name="_3__123Graph_AGROWTH_CPI" hidden="1">[50]Data!#REF!</definedName>
    <definedName name="_3__123Graph_BCHART_1" hidden="1">[35]A!$C$28:$AJ$28</definedName>
    <definedName name="_3__123Graph_BCHART_8" localSheetId="21" hidden="1">#REF!</definedName>
    <definedName name="_3__123Graph_BCHART_8" localSheetId="1" hidden="1">#REF!</definedName>
    <definedName name="_3__123Graph_BCHART_8" localSheetId="0" hidden="1">#REF!</definedName>
    <definedName name="_3__123Graph_BCHART_8" hidden="1">#REF!</definedName>
    <definedName name="_3__123Graph_XCHART_1A" hidden="1">[23]data!$B$13:$B$91</definedName>
    <definedName name="_3_to_6_months_Fixed_Account_1.1.2.2">'[51]9.2'!$A$10:$IV$10</definedName>
    <definedName name="_37__123Graph_ACPI_ER_LOG" localSheetId="21" hidden="1">[52]ER!#REF!</definedName>
    <definedName name="_37__123Graph_ACPI_ER_LOG" localSheetId="1" hidden="1">[52]ER!#REF!</definedName>
    <definedName name="_37__123Graph_ACPI_ER_LOG" localSheetId="0" hidden="1">[52]ER!#REF!</definedName>
    <definedName name="_37__123Graph_ACPI_ER_LOG" hidden="1">[52]ER!#REF!</definedName>
    <definedName name="_4___123Graph_AChart_4A" hidden="1">[10]CPIINDEX!$O$239:$O$298</definedName>
    <definedName name="_4__123Graph_ACHART_1" hidden="1">[38]A!$C$31:$AJ$31</definedName>
    <definedName name="_4__123Graph_ACHART_2" hidden="1">[38]A!$C$31:$AJ$31</definedName>
    <definedName name="_4__123Graph_AChart_2A" hidden="1">[37]CPIINDEX!$K$203:$K$304</definedName>
    <definedName name="_4__123Graph_AChart_3A" hidden="1">[41]CPIINDEX!$O$203:$O$304</definedName>
    <definedName name="_4__123Graph_AChart_4A" hidden="1">[36]CPIINDEX!$O$239:$O$298</definedName>
    <definedName name="_4__123Graph_AChart_4B" hidden="1">[39]ecpa!$B$10:$B$14</definedName>
    <definedName name="_4__123Graph_BCHART_2" hidden="1">[35]A!$C$36:$AJ$36</definedName>
    <definedName name="_4__123Graph_BCPI_ER_LOG" hidden="1">[49]ER!#REF!</definedName>
    <definedName name="_4__123Graph_CCHART_8" localSheetId="21" hidden="1">#REF!</definedName>
    <definedName name="_4__123Graph_CCHART_8" localSheetId="1" hidden="1">#REF!</definedName>
    <definedName name="_4__123Graph_CCHART_8" localSheetId="0" hidden="1">#REF!</definedName>
    <definedName name="_4__123Graph_CCHART_8" hidden="1">#REF!</definedName>
    <definedName name="_48__123Graph_AGROWTH_CPI" localSheetId="21" hidden="1">[43]Data!#REF!</definedName>
    <definedName name="_48__123Graph_AGROWTH_CPI" localSheetId="1" hidden="1">[43]Data!#REF!</definedName>
    <definedName name="_48__123Graph_AGROWTH_CPI" localSheetId="0" hidden="1">[43]Data!#REF!</definedName>
    <definedName name="_48__123Graph_AGROWTH_CPI" hidden="1">[43]Data!#REF!</definedName>
    <definedName name="_49__123Graph_AIBA_IBRD" hidden="1">[16]WB!$Q$62:$AK$62</definedName>
    <definedName name="_5___123Graph_BChart_1A" hidden="1">[10]CPIINDEX!$S$263:$S$310</definedName>
    <definedName name="_5__123Graph_ACHART_2" hidden="1">[38]A!$C$31:$AJ$31</definedName>
    <definedName name="_5__123Graph_AChart_4A" hidden="1">[41]CPIINDEX!$O$239:$O$298</definedName>
    <definedName name="_5__123Graph_AChart_5H" hidden="1">[39]ecpa!$D$46:$D$50</definedName>
    <definedName name="_5__123Graph_BChart_1A" hidden="1">[36]CPIINDEX!$S$263:$S$310</definedName>
    <definedName name="_5__123Graph_BIBA_IBRD" hidden="1">[49]WB!#REF!</definedName>
    <definedName name="_5__123Graph_CCHART_1" hidden="1">[35]A!$C$24:$AJ$24</definedName>
    <definedName name="_5__123Graph_DCHART_8" localSheetId="21" hidden="1">#REF!</definedName>
    <definedName name="_5__123Graph_DCHART_8" localSheetId="1" hidden="1">#REF!</definedName>
    <definedName name="_5__123Graph_DCHART_8" localSheetId="0" hidden="1">#REF!</definedName>
    <definedName name="_5__123Graph_DCHART_8" hidden="1">#REF!</definedName>
    <definedName name="_50__123Graph_AINVENT_SALES" localSheetId="21" hidden="1">#REF!</definedName>
    <definedName name="_50__123Graph_AINVENT_SALES" localSheetId="1" hidden="1">#REF!</definedName>
    <definedName name="_50__123Graph_AINVENT_SALES" localSheetId="0" hidden="1">#REF!</definedName>
    <definedName name="_50__123Graph_AINVENT_SALES" hidden="1">#REF!</definedName>
    <definedName name="_51__123Graph_AMIMPMA_1" localSheetId="21" hidden="1">#REF!</definedName>
    <definedName name="_51__123Graph_AMIMPMA_1" localSheetId="1" hidden="1">#REF!</definedName>
    <definedName name="_51__123Graph_AMIMPMA_1" localSheetId="0" hidden="1">#REF!</definedName>
    <definedName name="_51__123Graph_AMIMPMA_1" hidden="1">#REF!</definedName>
    <definedName name="_52__123Graph_ANDA_OIN" localSheetId="21" hidden="1">#REF!</definedName>
    <definedName name="_52__123Graph_ANDA_OIN" localSheetId="1" hidden="1">#REF!</definedName>
    <definedName name="_52__123Graph_ANDA_OIN" localSheetId="0" hidden="1">#REF!</definedName>
    <definedName name="_52__123Graph_ANDA_OIN" hidden="1">#REF!</definedName>
    <definedName name="_53__123Graph_AR_BMONEY" localSheetId="21" hidden="1">#REF!</definedName>
    <definedName name="_53__123Graph_AR_BMONEY" localSheetId="1" hidden="1">#REF!</definedName>
    <definedName name="_53__123Graph_AR_BMONEY" localSheetId="0" hidden="1">#REF!</definedName>
    <definedName name="_53__123Graph_AR_BMONEY" hidden="1">#REF!</definedName>
    <definedName name="_6___123Graph_BChart_3A" localSheetId="21" hidden="1">[10]CPIINDEX!#REF!</definedName>
    <definedName name="_6___123Graph_BChart_3A" localSheetId="1" hidden="1">[10]CPIINDEX!#REF!</definedName>
    <definedName name="_6___123Graph_BChart_3A" localSheetId="0" hidden="1">[10]CPIINDEX!#REF!</definedName>
    <definedName name="_6___123Graph_BChart_3A" hidden="1">[10]CPIINDEX!#REF!</definedName>
    <definedName name="_6__123Graph_AChart_3A" hidden="1">[37]CPIINDEX!$O$203:$O$304</definedName>
    <definedName name="_6__123Graph_AIBA_IBRD" hidden="1">[42]WB!$Q$62:$AK$62</definedName>
    <definedName name="_6__123Graph_BCHART_1" hidden="1">[38]A!$C$28:$AJ$28</definedName>
    <definedName name="_6__123Graph_BChart_1A" hidden="1">[41]CPIINDEX!$S$263:$S$310</definedName>
    <definedName name="_6__123Graph_BChart_3A" hidden="1">[53]CPIINDEX!#REF!</definedName>
    <definedName name="_6__123Graph_CCHART_2" hidden="1">[35]A!$C$38:$AJ$38</definedName>
    <definedName name="_6__123Graph_DGROWTH_CPI" localSheetId="21" hidden="1">[50]Data!#REF!</definedName>
    <definedName name="_6__123Graph_DGROWTH_CPI" localSheetId="1" hidden="1">[50]Data!#REF!</definedName>
    <definedName name="_6__123Graph_DGROWTH_CPI" localSheetId="0" hidden="1">[50]Data!#REF!</definedName>
    <definedName name="_6__123Graph_DGROWTH_CPI" hidden="1">[50]Data!#REF!</definedName>
    <definedName name="_6__123Graph_XCHART_8" localSheetId="21" hidden="1">#REF!</definedName>
    <definedName name="_6__123Graph_XCHART_8" localSheetId="1" hidden="1">#REF!</definedName>
    <definedName name="_6__123Graph_XCHART_8" localSheetId="0" hidden="1">#REF!</definedName>
    <definedName name="_6__123Graph_XCHART_8" hidden="1">#REF!</definedName>
    <definedName name="_6_months_to_1_year_Fixed_Account_1.1.2.3">'[51]9.2'!$A$11:$IV$11</definedName>
    <definedName name="_64__123Graph_ASEIGNOR" localSheetId="21" hidden="1">[21]seignior!#REF!</definedName>
    <definedName name="_64__123Graph_ASEIGNOR" localSheetId="1" hidden="1">[21]seignior!#REF!</definedName>
    <definedName name="_64__123Graph_ASEIGNOR" localSheetId="0" hidden="1">[21]seignior!#REF!</definedName>
    <definedName name="_64__123Graph_ASEIGNOR" hidden="1">[21]seignior!#REF!</definedName>
    <definedName name="_65__123Graph_AWB_ADJ_PRJ" hidden="1">[16]WB!$Q$255:$AK$255</definedName>
    <definedName name="_66__123Graph_BCHART_1" hidden="1">[44]IPC1988!$E$176:$E$182</definedName>
    <definedName name="_67__123Graph_BCHART_2" hidden="1">[44]IPC1988!$D$176:$D$182</definedName>
    <definedName name="_6Macros_Import_.qbop">[49]!'[Macros Import].qbop'</definedName>
    <definedName name="_7___123Graph_BChart_4A" localSheetId="21" hidden="1">[10]CPIINDEX!#REF!</definedName>
    <definedName name="_7___123Graph_BChart_4A" localSheetId="1" hidden="1">[10]CPIINDEX!#REF!</definedName>
    <definedName name="_7___123Graph_BChart_4A" localSheetId="0" hidden="1">[10]CPIINDEX!#REF!</definedName>
    <definedName name="_7___123Graph_BChart_4A" hidden="1">[10]CPIINDEX!#REF!</definedName>
    <definedName name="_7__123Graph_BCHART_2" hidden="1">[38]A!$C$36:$AJ$36</definedName>
    <definedName name="_7__123Graph_BChart_2A" hidden="1">[39]ecpa!$O$5:$Z$5</definedName>
    <definedName name="_7__123Graph_BChart_4A" hidden="1">[53]CPIINDEX!#REF!</definedName>
    <definedName name="_7__123Graph_XCHART_1" hidden="1">[35]A!$C$5:$AJ$5</definedName>
    <definedName name="_7__123Graph_XREALEX_WAGE" localSheetId="21" hidden="1">[54]PRIVATE!#REF!</definedName>
    <definedName name="_7__123Graph_XREALEX_WAGE" localSheetId="1" hidden="1">[54]PRIVATE!#REF!</definedName>
    <definedName name="_7__123Graph_XREALEX_WAGE" localSheetId="0" hidden="1">[54]PRIVATE!#REF!</definedName>
    <definedName name="_7__123Graph_XREALEX_WAGE" hidden="1">[54]PRIVATE!#REF!</definedName>
    <definedName name="_79__123Graph_BCPI_ER_LOG" localSheetId="21" hidden="1">[52]ER!#REF!</definedName>
    <definedName name="_79__123Graph_BCPI_ER_LOG" localSheetId="1" hidden="1">[52]ER!#REF!</definedName>
    <definedName name="_79__123Graph_BCPI_ER_LOG" localSheetId="0" hidden="1">[52]ER!#REF!</definedName>
    <definedName name="_79__123Graph_BCPI_ER_LOG" hidden="1">[52]ER!#REF!</definedName>
    <definedName name="_8___123Graph_XChart_1A" hidden="1">[10]CPIINDEX!$B$263:$B$310</definedName>
    <definedName name="_8__123Graph_AChart_4A" hidden="1">[37]CPIINDEX!$O$239:$O$298</definedName>
    <definedName name="_8__123Graph_AIBA_IBRD" hidden="1">[42]WB!$Q$62:$AK$62</definedName>
    <definedName name="_8__123Graph_AWB_ADJ_PRJ" hidden="1">[42]WB!$Q$255:$AK$255</definedName>
    <definedName name="_8__123Graph_BCHART_1" hidden="1">[38]A!$C$28:$AJ$28</definedName>
    <definedName name="_8__123Graph_BChart_3A" hidden="1">[39]ecpa!$AC$5:$AN$5</definedName>
    <definedName name="_8__123Graph_XChart_1A" hidden="1">[41]CPIINDEX!$B$263:$B$310</definedName>
    <definedName name="_8__123Graph_XCHART_2" hidden="1">[35]A!$C$39:$AJ$39</definedName>
    <definedName name="_9___123Graph_XChart_2A" hidden="1">[10]CPIINDEX!$B$203:$B$310</definedName>
    <definedName name="_9__123Graph_BCHART_1" hidden="1">[38]A!$C$28:$AJ$28</definedName>
    <definedName name="_9__123Graph_BCHART_2" hidden="1">[38]A!$C$36:$AJ$36</definedName>
    <definedName name="_9__123Graph_CCHART_1" hidden="1">[38]A!$C$24:$AJ$24</definedName>
    <definedName name="_9__123Graph_CChart_1A" hidden="1">[39]ecpa!$B$6:$M$6</definedName>
    <definedName name="_9__123Graph_XChart_1A" hidden="1">[41]CPIINDEX!$B$263:$B$310</definedName>
    <definedName name="_9__123Graph_XChart_2A" hidden="1">[41]CPIINDEX!$B$203:$B$310</definedName>
    <definedName name="_90__123Graph_BIBA_IBRD" localSheetId="21" hidden="1">[52]WB!#REF!</definedName>
    <definedName name="_90__123Graph_BIBA_IBRD" localSheetId="1" hidden="1">[52]WB!#REF!</definedName>
    <definedName name="_90__123Graph_BIBA_IBRD" localSheetId="0" hidden="1">[52]WB!#REF!</definedName>
    <definedName name="_90__123Graph_BIBA_IBRD" hidden="1">[52]WB!#REF!</definedName>
    <definedName name="_91__123Graph_BNDA_OIN" localSheetId="21" hidden="1">#REF!</definedName>
    <definedName name="_91__123Graph_BNDA_OIN" localSheetId="1" hidden="1">#REF!</definedName>
    <definedName name="_91__123Graph_BNDA_OIN" localSheetId="0" hidden="1">#REF!</definedName>
    <definedName name="_91__123Graph_BNDA_OIN" hidden="1">#REF!</definedName>
    <definedName name="_92__123Graph_BR_BMONEY" localSheetId="21" hidden="1">#REF!</definedName>
    <definedName name="_92__123Graph_BR_BMONEY" localSheetId="1" hidden="1">#REF!</definedName>
    <definedName name="_92__123Graph_BR_BMONEY" localSheetId="0"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OP1">#REF!</definedName>
    <definedName name="_BOP2">[55]BoP!#REF!</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21" hidden="1">#REF!</definedName>
    <definedName name="_Dist_Values" localSheetId="1"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[56]WEO!#REF!</definedName>
    <definedName name="_DLX15.USE">#REF!</definedName>
    <definedName name="_DLX16.USE">'[57]UK,DEU'!#REF!</definedName>
    <definedName name="_DLX2.USE">[58]Haver_In_Q!$A$2:$F$2</definedName>
    <definedName name="_DLX20.USE">#REF!</definedName>
    <definedName name="_DLX21.USE">#REF!</definedName>
    <definedName name="_DLX22.USE">#REF!</definedName>
    <definedName name="_DLX24.USE">[59]Data!#REF!</definedName>
    <definedName name="_DLX25.USE">#REF!</definedName>
    <definedName name="_DLX27.USE">#REF!</definedName>
    <definedName name="_DLX3.USE">[60]Debt!#REF!</definedName>
    <definedName name="_DLX34.USE">#REF!</definedName>
    <definedName name="_DLX4.USE">[60]Debt!#REF!</definedName>
    <definedName name="_DLX5.USE">#REF!</definedName>
    <definedName name="_DLX6.USE">[60]Debt!#REF!</definedName>
    <definedName name="_DLX7.USE">[60]Debt!#REF!</definedName>
    <definedName name="_DLX8.USE">#REF!</definedName>
    <definedName name="_DLX9.USE">#REF!</definedName>
    <definedName name="_EXP5">#REF!</definedName>
    <definedName name="_EXP6">#REF!</definedName>
    <definedName name="_EXP7">#REF!</definedName>
    <definedName name="_EXP9">#REF!</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1" hidden="1">[28]Data!#REF!</definedName>
    <definedName name="_Fill" localSheetId="1" hidden="1">#REF!</definedName>
    <definedName name="_Fill" localSheetId="0" hidden="1">#REF!</definedName>
    <definedName name="_Fill" hidden="1">[28]Data!#REF!</definedName>
    <definedName name="_Fill1" localSheetId="21" hidden="1">#REF!</definedName>
    <definedName name="_Fill1" localSheetId="1" hidden="1">#REF!</definedName>
    <definedName name="_Fill1" localSheetId="0" hidden="1">#REF!</definedName>
    <definedName name="_Fill1" hidden="1">#REF!</definedName>
    <definedName name="_Filler" hidden="1">[61]A!$A$43:$A$598</definedName>
    <definedName name="_FILLL" hidden="1">[62]Fund_Credit!#REF!</definedName>
    <definedName name="_filterd" hidden="1">[63]C!$P$428:$T$428</definedName>
    <definedName name="_xlnm._FilterDatabase" localSheetId="15" hidden="1">'Figure 1.12'!$A$1:$W$1</definedName>
    <definedName name="_xlnm._FilterDatabase" localSheetId="16" hidden="1">'Figure 1.13'!$A$1:$X$1</definedName>
    <definedName name="_xlnm._FilterDatabase" localSheetId="8" hidden="1">'Figure 1.5'!$A$1:$C$1</definedName>
    <definedName name="_xlnm._FilterDatabase" localSheetId="12" hidden="1">'Figure 1.9'!$A$1:$C$1</definedName>
    <definedName name="_xlnm._FilterDatabase" localSheetId="37" hidden="1">'Figure 2.1.1.'!$AU$5:$AZ$26</definedName>
    <definedName name="_xlnm._FilterDatabase" hidden="1">[64]C!$P$428:$T$428</definedName>
    <definedName name="_GDP90">[65]UAE!$A$220:$L$245</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1" hidden="1">{#N/A,#N/A,FALSE,"DOC";"TB_28",#N/A,FALSE,"FITB_28";"TB_91",#N/A,FALSE,"FITB_91";"TB_182",#N/A,FALSE,"FITB_182";"TB_273",#N/A,FALSE,"FITB_273";"TB_364",#N/A,FALSE,"FITB_364 ";"SUMMARY",#N/A,FALSE,"Summary"}</definedName>
    <definedName name="_gt4" localSheetId="1" hidden="1">{#N/A,#N/A,FALSE,"DOC";"TB_28",#N/A,FALSE,"FITB_28";"TB_91",#N/A,FALSE,"FITB_91";"TB_182",#N/A,FALSE,"FITB_182";"TB_273",#N/A,FALSE,"FITB_273";"TB_364",#N/A,FALSE,"FITB_364 ";"SUMMARY",#N/A,FALSE,"Summary"}</definedName>
    <definedName name="_gt4" localSheetId="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[0]!_IFR2</definedName>
    <definedName name="_IFR22">[0]!_IFR22</definedName>
    <definedName name="_IFR23">[0]!_IFR23</definedName>
    <definedName name="_IMP10">#REF!</definedName>
    <definedName name="_IMP2">#REF!</definedName>
    <definedName name="_IMP4">#REF!</definedName>
    <definedName name="_IMP6">#REF!</definedName>
    <definedName name="_IMP7">#REF!</definedName>
    <definedName name="_IMP8">#REF!</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1" hidden="1">#REF!</definedName>
    <definedName name="_Key1" localSheetId="1" hidden="1">#REF!</definedName>
    <definedName name="_Key1" localSheetId="0" hidden="1">#REF!</definedName>
    <definedName name="_Key1" hidden="1">#REF!</definedName>
    <definedName name="_Key2" localSheetId="21" hidden="1">#REF!</definedName>
    <definedName name="_Key2" localSheetId="1" hidden="1">#REF!</definedName>
    <definedName name="_Key2" localSheetId="0" hidden="1">#REF!</definedName>
    <definedName name="_Key2" hidden="1">#REF!</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{"Main Economic Indicators",#N/A,FALSE,"C"}</definedName>
    <definedName name="_loi3">{"Main Economic Indicators",#N/A,FALSE,"C"}</definedName>
    <definedName name="_LOOKUP">#REF!</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[66]Contents!$C$20:$D$28</definedName>
    <definedName name="_MatMult_B">[66]Contents!$C$20:$D$28</definedName>
    <definedName name="_mof2">'[67]SR Table 2'!#REF!</definedName>
    <definedName name="_MTS2">'[68]Annual Tables'!#REF!</definedName>
    <definedName name="_new1">#N/A</definedName>
    <definedName name="_NFA1">'[69]NFA-input'!$A$2:$AP$56</definedName>
    <definedName name="_Order1" hidden="1">255</definedName>
    <definedName name="_Order2" hidden="1">255</definedName>
    <definedName name="_PAG2">[68]Index!#REF!</definedName>
    <definedName name="_PAG3">[68]Index!#REF!</definedName>
    <definedName name="_PAG4">[68]Index!#REF!</definedName>
    <definedName name="_PAG5">[68]Index!#REF!</definedName>
    <definedName name="_PAG6">[68]Index!#REF!</definedName>
    <definedName name="_PAG7">#REF!</definedName>
    <definedName name="_Parse_In" localSheetId="21" hidden="1">#REF!</definedName>
    <definedName name="_Parse_In" localSheetId="1" hidden="1">#REF!</definedName>
    <definedName name="_Parse_In" localSheetId="0" hidden="1">#REF!</definedName>
    <definedName name="_Parse_In" hidden="1">#REF!</definedName>
    <definedName name="_Parse_Out" localSheetId="21" hidden="1">#REF!</definedName>
    <definedName name="_Parse_Out" localSheetId="1" hidden="1">#REF!</definedName>
    <definedName name="_Parse_Out" localSheetId="0" hidden="1">#REF!</definedName>
    <definedName name="_Parse_Out" hidden="1">#REF!</definedName>
    <definedName name="_PIB04">'[70]Quadro Macro'!$D$3</definedName>
    <definedName name="_PIB06">'[70]Quadro Macro'!$F$3</definedName>
    <definedName name="_PIB08">'[70]Quadro Macro'!$H$3</definedName>
    <definedName name="_prt1">[71]!_prt1</definedName>
    <definedName name="_prt2">[71]!_prt2</definedName>
    <definedName name="_prt3">[71]!_prt3</definedName>
    <definedName name="_prt4">[71]!_prt4</definedName>
    <definedName name="_prt5">[71]!_prt5</definedName>
    <definedName name="_prt6">[71]!_prt6</definedName>
    <definedName name="_prt7">[71]!_prt7</definedName>
    <definedName name="_prt8">[71]!_prt8</definedName>
    <definedName name="_red16">#REF!</definedName>
    <definedName name="_red17">#REF!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gression_Int" hidden="1">1</definedName>
    <definedName name="_Regression_Out" localSheetId="21" hidden="1">#REF!</definedName>
    <definedName name="_Regression_Out" hidden="1">#REF!</definedName>
    <definedName name="_Regression_X" localSheetId="21" hidden="1">#REF!</definedName>
    <definedName name="_Regression_X" hidden="1">#REF!</definedName>
    <definedName name="_Regression_Y" localSheetId="21" hidden="1">#REF!</definedName>
    <definedName name="_Regression_Y" hidden="1">#REF!</definedName>
    <definedName name="_RES2">[55]RES!#REF!</definedName>
    <definedName name="_Sort" localSheetId="21" hidden="1">#REF!</definedName>
    <definedName name="_Sort" localSheetId="1" hidden="1">#REF!</definedName>
    <definedName name="_Sort" localSheetId="0" hidden="1">#REF!</definedName>
    <definedName name="_Sort" hidden="1">#REF!</definedName>
    <definedName name="_SRT11" localSheetId="21" hidden="1">{"Minpmon",#N/A,FALSE,"Monthinput"}</definedName>
    <definedName name="_SRT11" localSheetId="1" hidden="1">{"Minpmon",#N/A,FALSE,"Monthinput"}</definedName>
    <definedName name="_SRT11" localSheetId="0"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TB1">[72]SummaryCG!$A$4:$CL$77</definedName>
    <definedName name="_TB2">[72]CGRev!$A$4:$CL$43</definedName>
    <definedName name="_TB3">[72]CGExp!$A$4:$CL$86</definedName>
    <definedName name="_TB4">[72]CGExternal!$B$4:$CL$55</definedName>
    <definedName name="_TB5">[72]CGAuthMeth!$B$4:$CL$55</definedName>
    <definedName name="_TB6">[72]CGAuthMeth!$B$64:$CL$131</definedName>
    <definedName name="_TB7">[72]CGFin_Monthly!$B$4:$AC$73</definedName>
    <definedName name="_TB8">[72]CGFin_Monthly!$B$174:$AC$234</definedName>
    <definedName name="_Toc129278769" localSheetId="26">'Figure 2.1.'!$B$1</definedName>
    <definedName name="_Toc129278771" localSheetId="35">'Figure 2.10.'!$B$1</definedName>
    <definedName name="_Toc129278771" localSheetId="28">'Figure 2.3.'!$B$1</definedName>
    <definedName name="_Toc129278771" localSheetId="34">'Figure 2.9.'!$B$1</definedName>
    <definedName name="_ty" localSheetId="21" hidden="1">'[31]Time series'!#REF!</definedName>
    <definedName name="_ty" hidden="1">'[31]Time series'!#REF!</definedName>
    <definedName name="_UK1">#REF!</definedName>
    <definedName name="_WEO1">#REF!</definedName>
    <definedName name="_WEO2">#REF!</definedName>
    <definedName name="_YR0110">'[73]Imp:DSA output'!$O$9:$R$464</definedName>
    <definedName name="_YR89">'[73]Imp:DSA output'!$C$9:$C$464</definedName>
    <definedName name="_YR90">'[5]Imp:DSA output'!$D$9:$D$464</definedName>
    <definedName name="_YR91">'[5]Imp:DSA output'!$E$9:$E$464</definedName>
    <definedName name="_YR92">'[5]Imp:DSA output'!$F$9:$F$464</definedName>
    <definedName name="_YR93">'[5]Imp:DSA output'!$G$9:$G$464</definedName>
    <definedName name="_YR94">'[5]Imp:DSA output'!$H$9:$H$464</definedName>
    <definedName name="_YR95">'[5]Imp:DSA output'!$I$9:$I$464</definedName>
    <definedName name="a" localSheetId="1" hidden="1">#REF!</definedName>
    <definedName name="a" localSheetId="0" hidden="1">#REF!</definedName>
    <definedName name="a">#REF!</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0">[74]RGDP_SA!#REF!</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{"Main Economic Indicators",#N/A,FALSE,"C"}</definedName>
    <definedName name="aaaaaa" localSheetId="21" hidden="1">{"Riqfin97",#N/A,FALSE,"Tran";"Riqfinpro",#N/A,FALSE,"Tran"}</definedName>
    <definedName name="aaaaaa" localSheetId="1" hidden="1">{"Riqfin97",#N/A,FALSE,"Tran";"Riqfinpro",#N/A,FALSE,"Tran"}</definedName>
    <definedName name="aaaaaa" localSheetId="0" hidden="1">{"Riqfin97",#N/A,FALSE,"Tran";"Riqfinpro",#N/A,FALSE,"Tran"}</definedName>
    <definedName name="aaaaaa" hidden="1">{"Riqfin97",#N/A,FALSE,"Tran";"Riqfinpro",#N/A,FALSE,"Tran"}</definedName>
    <definedName name="aaaaaaa">{"Main Economic Indicators",#N/A,FALSE,"C"}</definedName>
    <definedName name="aad">{"Main Economic Indicators",#N/A,FALSE,"C"}</definedName>
    <definedName name="aas">{"Main Economic Indicators",#N/A,FALSE,"C"}</definedName>
    <definedName name="aax">{"Main Economic Indicators",#N/A,FALSE,"C"}</definedName>
    <definedName name="ab.dr">{"Main Economic Indicators",#N/A,FALSE,"C"}</definedName>
    <definedName name="Above_1_year_Fixed_Account_1.1.2.4">'[51]9.2'!$A$12:$IV$12</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1" hidden="1">'[75]COP FED'!#REF!</definedName>
    <definedName name="ACwvu.PLA1." localSheetId="1" hidden="1">'[75]COP FED'!#REF!</definedName>
    <definedName name="ACwvu.PLA1." localSheetId="0" hidden="1">'[75]COP FED'!#REF!</definedName>
    <definedName name="ACwvu.PLA1." hidden="1">'[75]COP FED'!#REF!</definedName>
    <definedName name="ACwvu.PLA2." hidden="1">'[75]COP FED'!$A$1:$N$49</definedName>
    <definedName name="ACwvu.Print." hidden="1">[76]Med!#REF!</definedName>
    <definedName name="ACwvu.snh." localSheetId="21" hidden="1">#REF!</definedName>
    <definedName name="ACwvu.snh." hidden="1">#REF!</definedName>
    <definedName name="Adb">[77]CIRRs!$C$59</definedName>
    <definedName name="Additional_Loan_Loss_Provision_7.1.3">'[51]9.2'!$A$43:$IV$43</definedName>
    <definedName name="Adf">[77]CIRRs!$C$60</definedName>
    <definedName name="Adjusted_undrawn_balance">#REF!</definedName>
    <definedName name="adsadrr" localSheetId="21" hidden="1">#REF!</definedName>
    <definedName name="adsadrr" hidden="1">#REF!</definedName>
    <definedName name="adssdd">{"Main Economic Indicators",#N/A,FALSE,"C"}</definedName>
    <definedName name="Advance_Payment_on_Tax_10.9">'[51]9.1'!#REF!</definedName>
    <definedName name="AETR_SensitivityParameter">[78]Sensitivity!$F$42</definedName>
    <definedName name="AETROilPrice">[78]Sensitivity!$F$42</definedName>
    <definedName name="AETRSensitivityParameter">[79]Sensitivity!$F$39</definedName>
    <definedName name="afd">#N/A</definedName>
    <definedName name="AFRBEN">#REF!</definedName>
    <definedName name="AFRBWA">#REF!</definedName>
    <definedName name="ag">#N/A</definedName>
    <definedName name="Against_Guarantee_33">'[51]9.4'!$A$37:$IV$37</definedName>
    <definedName name="Against_security_of_Bill_26">'[51]9.4'!$A$30:$IV$30</definedName>
    <definedName name="Agency_List">[80]Control!$H$17:$H$19</definedName>
    <definedName name="Agricultural_and_Forest_product_28">'[51]9.3'!$A$32:$IV$32</definedName>
    <definedName name="Agricultural_and_Forest_Related_1">'[51]9.3'!$A$5:$IV$5</definedName>
    <definedName name="Agricultural_Production_15">'[51]9.4'!$A$19:$IV$19</definedName>
    <definedName name="Agriculture__Forestry___Bevarage___Production_Related_26">'[51]9.3'!$A$30:$IV$30</definedName>
    <definedName name="AGSS">[81]K4!$A$17:$IV$17</definedName>
    <definedName name="Albania">#REF!</definedName>
    <definedName name="AlgeriaCCS1" localSheetId="21" hidden="1">#REF!</definedName>
    <definedName name="AlgeriaCCS1" localSheetId="1" hidden="1">#REF!</definedName>
    <definedName name="AlgeriaCCS1" localSheetId="0" hidden="1">#REF!</definedName>
    <definedName name="AlgeriaCCS1" hidden="1">#REF!</definedName>
    <definedName name="ALL">'[73]Imp:DSA output'!$C$9:$R$464</definedName>
    <definedName name="AllCountries">'[80]countries &amp; codes'!$C$5:$H$212</definedName>
    <definedName name="AlPr_TB_1">#REF!</definedName>
    <definedName name="AlPr_TB_1b">#REF!</definedName>
    <definedName name="Alter">#REF!</definedName>
    <definedName name="ALV">[81]K9!$A$43:$IV$43</definedName>
    <definedName name="amort_trim">[82]DespCoefs!$A$54:$IV$54</definedName>
    <definedName name="AMPO5">"Gráfico 8"</definedName>
    <definedName name="AN1112N">[83]DB95Q!$A$14:$IP$14</definedName>
    <definedName name="AN1112S13N">[83]DB95Q!$A$16:$IP$16</definedName>
    <definedName name="AN1113N">[83]DB95Q!$A$22:$IP$22</definedName>
    <definedName name="AN1113S13N">[83]DB95Q!$A$24:$IP$24</definedName>
    <definedName name="AN112N">[83]DB95Q!$A$37:$IP$37</definedName>
    <definedName name="AN112S13N">[83]DB95Q!$A$39:$IP$39</definedName>
    <definedName name="anberd">#REF!</definedName>
    <definedName name="AnnualSRTable">#N/A</definedName>
    <definedName name="Anos">[84]PRESSUP!$A$5:$IV$5</definedName>
    <definedName name="anscount" hidden="1">1</definedName>
    <definedName name="ANSWER">'[85]Key Assumptions'!#REF!</definedName>
    <definedName name="APr_1">#REF!</definedName>
    <definedName name="APr_1b">#REF!</definedName>
    <definedName name="APr_2">#REF!</definedName>
    <definedName name="Apr_2b">#REF!</definedName>
    <definedName name="Apr_Diffb">#REF!</definedName>
    <definedName name="ar_i_dag">2008</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LO">[81]K6!$A$28:$IV$28</definedName>
    <definedName name="ARLOA">[81]K6!$A$44:$IV$44</definedName>
    <definedName name="ARLON">[81]K6!$A$60:$IV$60</definedName>
    <definedName name="ARNS">[81]K4!$A$25:$IV$25</definedName>
    <definedName name="ARW_N">'[86]02_Berwerte_ABL'!$J$10</definedName>
    <definedName name="ARWOst">#REF!</definedName>
    <definedName name="ARWWest">#REF!</definedName>
    <definedName name="as" localSheetId="21" hidden="1">{"TRADE_COMP",#N/A,FALSE,"TAB23APP";"BOP",#N/A,FALSE,"TAB6";"DOT",#N/A,FALSE,"TAB24APP";"EXTDEBT",#N/A,FALSE,"TAB25APP"}</definedName>
    <definedName name="as" localSheetId="1" hidden="1">{"TRADE_COMP",#N/A,FALSE,"TAB23APP";"BOP",#N/A,FALSE,"TAB6";"DOT",#N/A,FALSE,"TAB24APP";"EXTDEBT",#N/A,FALSE,"TAB25APP"}</definedName>
    <definedName name="as" localSheetId="0" hidden="1">{"TRADE_COMP",#N/A,FALSE,"TAB23APP";"BOP",#N/A,FALSE,"TAB6";"DOT",#N/A,FALSE,"TAB24APP";"EXTDEBT",#N/A,FALSE,"TAB25APP"}</definedName>
    <definedName name="as" hidden="1">{"TRADE_COMP",#N/A,FALSE,"TAB23APP";"BOP",#N/A,FALSE,"TAB6";"DOT",#N/A,FALSE,"TAB24APP";"EXTDEBT",#N/A,FALSE,"TAB25APP"}</definedName>
    <definedName name="asd" localSheetId="21" hidden="1">{"Riqfin97",#N/A,FALSE,"Tran";"Riqfinpro",#N/A,FALSE,"Tran"}</definedName>
    <definedName name="asd" localSheetId="1" hidden="1">{"Riqfin97",#N/A,FALSE,"Tran";"Riqfinpro",#N/A,FALSE,"Tran"}</definedName>
    <definedName name="asd" localSheetId="0" hidden="1">{"Riqfin97",#N/A,FALSE,"Tran";"Riqfinpro",#N/A,FALSE,"Tran"}</definedName>
    <definedName name="asd" hidden="1">{"Riqfin97",#N/A,FALSE,"Tran";"Riqfinpro",#N/A,FALSE,"Tran"}</definedName>
    <definedName name="asdasd" localSheetId="21" hidden="1">{"Riqfin97",#N/A,FALSE,"Tran";"Riqfinpro",#N/A,FALSE,"Tran"}</definedName>
    <definedName name="asdasd" localSheetId="1" hidden="1">{"Riqfin97",#N/A,FALSE,"Tran";"Riqfinpro",#N/A,FALSE,"Tran"}</definedName>
    <definedName name="asdasd" localSheetId="0" hidden="1">{"Riqfin97",#N/A,FALSE,"Tran";"Riqfinpro",#N/A,FALSE,"Tran"}</definedName>
    <definedName name="asdasd" hidden="1">{"Riqfin97",#N/A,FALSE,"Tran";"Riqfinpro",#N/A,FALSE,"Tran"}</definedName>
    <definedName name="asdasdad" localSheetId="21" hidden="1">{"Riqfin97",#N/A,FALSE,"Tran";"Riqfinpro",#N/A,FALSE,"Tran"}</definedName>
    <definedName name="asdasdad" localSheetId="1" hidden="1">{"Riqfin97",#N/A,FALSE,"Tran";"Riqfinpro",#N/A,FALSE,"Tran"}</definedName>
    <definedName name="asdasdad" localSheetId="0" hidden="1">{"Riqfin97",#N/A,FALSE,"Tran";"Riqfinpro",#N/A,FALSE,"Tran"}</definedName>
    <definedName name="asdasdad" hidden="1">{"Riqfin97",#N/A,FALSE,"Tran";"Riqfinpro",#N/A,FALSE,"Tran"}</definedName>
    <definedName name="asdasdadad" localSheetId="21" hidden="1">{"Riqfin97",#N/A,FALSE,"Tran";"Riqfinpro",#N/A,FALSE,"Tran"}</definedName>
    <definedName name="asdasdadad" localSheetId="1" hidden="1">{"Riqfin97",#N/A,FALSE,"Tran";"Riqfinpro",#N/A,FALSE,"Tran"}</definedName>
    <definedName name="asdasdadad" localSheetId="0" hidden="1">{"Riqfin97",#N/A,FALSE,"Tran";"Riqfinpro",#N/A,FALSE,"Tran"}</definedName>
    <definedName name="asdasdadad" hidden="1">{"Riqfin97",#N/A,FALSE,"Tran";"Riqfinpro",#N/A,FALSE,"Tran"}</definedName>
    <definedName name="asdf" localSheetId="21" hidden="1">{"BOP_TAB",#N/A,FALSE,"N";"MIDTERM_TAB",#N/A,FALSE,"O"}</definedName>
    <definedName name="asdf" localSheetId="1" hidden="1">{"BOP_TAB",#N/A,FALSE,"N";"MIDTERM_TAB",#N/A,FALSE,"O"}</definedName>
    <definedName name="asdf" localSheetId="0" hidden="1">{"BOP_TAB",#N/A,FALSE,"N";"MIDTERM_TAB",#N/A,FALSE,"O"}</definedName>
    <definedName name="asdf" hidden="1">{"BOP_TAB",#N/A,FALSE,"N";"MIDTERM_TAB",#N/A,FALSE,"O"}</definedName>
    <definedName name="asdfsd" hidden="1">[46]A!#REF!</definedName>
    <definedName name="asdrae" localSheetId="21" hidden="1">#REF!</definedName>
    <definedName name="asdrae" hidden="1">#REF!</definedName>
    <definedName name="ase" localSheetId="21" hidden="1">{"Minpmon",#N/A,FALSE,"Monthinput"}</definedName>
    <definedName name="ase" localSheetId="1" hidden="1">{"Minpmon",#N/A,FALSE,"Monthinput"}</definedName>
    <definedName name="ase" localSheetId="0" hidden="1">{"Minpmon",#N/A,FALSE,"Monthinput"}</definedName>
    <definedName name="ase" hidden="1">{"Minpmon",#N/A,FALSE,"Monthinput"}</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'[87]Output-INSTRUCTIONS'!$J$50</definedName>
    <definedName name="Assets_Total">'[51]9.1'!#REF!</definedName>
    <definedName name="Assistance">[88]Sheet1!$B$2:$T$56</definedName>
    <definedName name="assu">#REF!</definedName>
    <definedName name="ASSUMP">#REF!</definedName>
    <definedName name="ASSUMPN2">#REF!</definedName>
    <definedName name="ATable1A">#N/A</definedName>
    <definedName name="ATable1B">#N/A</definedName>
    <definedName name="atrade">[48]!atrade</definedName>
    <definedName name="Austria">#REF!</definedName>
    <definedName name="auto1">#REF!</definedName>
    <definedName name="autom1">[67]excise!#REF!</definedName>
    <definedName name="autom2">#REF!</definedName>
    <definedName name="automat">#REF!</definedName>
    <definedName name="avWagesSec">#REF!</definedName>
    <definedName name="AvWg">'[89] WAGES1'!$A$1</definedName>
    <definedName name="AvWg100">[89]WAGES2!$A$2</definedName>
    <definedName name="b" localSheetId="1" hidden="1">{#N/A,#N/A,FALSE,"B061196P";#N/A,#N/A,FALSE,"B061196";#N/A,#N/A,FALSE,"Relatório1";#N/A,#N/A,FALSE,"Relatório2";#N/A,#N/A,FALSE,"Relatório3";#N/A,#N/A,FALSE,"Relatório4 ";#N/A,#N/A,FALSE,"Relatório5";#N/A,#N/A,FALSE,"Relatório6";#N/A,#N/A,FALSE,"Relatório7";#N/A,#N/A,FALSE,"Relatório8"}</definedName>
    <definedName name="b" localSheetId="0" hidden="1">{#N/A,#N/A,FALSE,"B061196P";#N/A,#N/A,FALSE,"B061196";#N/A,#N/A,FALSE,"Relatório1";#N/A,#N/A,FALSE,"Relatório2";#N/A,#N/A,FALSE,"Relatório3";#N/A,#N/A,FALSE,"Relatório4 ";#N/A,#N/A,FALSE,"Relatório5";#N/A,#N/A,FALSE,"Relatório6";#N/A,#N/A,FALSE,"Relatório7";#N/A,#N/A,FALSE,"Relatório8"}</definedName>
    <definedName name="b">#REF!</definedName>
    <definedName name="B1GN">[83]DB95Q!$A$81:$IP$81</definedName>
    <definedName name="Badea">[77]CIRRs!$C$67</definedName>
    <definedName name="Balance_of_payments">#REF!</definedName>
    <definedName name="BARN">[81]K6!$A$26:$IV$26</definedName>
    <definedName name="BARNA">[81]K6!$A$42:$IV$42</definedName>
    <definedName name="BARNN">[81]K6!$A$58:$IV$58</definedName>
    <definedName name="Bas_chart">#REF!</definedName>
    <definedName name="BASDAT">'[68]Annual Tables'!#REF!</definedName>
    <definedName name="BaseYear">[90]REER!$A$4</definedName>
    <definedName name="bastab">#REF!</definedName>
    <definedName name="bb" localSheetId="21" hidden="1">{"Riqfin97",#N/A,FALSE,"Tran";"Riqfinpro",#N/A,FALSE,"Tran"}</definedName>
    <definedName name="bb" localSheetId="1" hidden="1">{"Riqfin97",#N/A,FALSE,"Tran";"Riqfinpro",#N/A,FALSE,"Tran"}</definedName>
    <definedName name="bb" localSheetId="0" hidden="1">{"Riqfin97",#N/A,FALSE,"Tran";"Riqfinpro",#N/A,FALSE,"Tran"}</definedName>
    <definedName name="bb" hidden="1">{"Riqfin97",#N/A,FALSE,"Tran";"Riqfinpro",#N/A,FALSE,"Tran"}</definedName>
    <definedName name="bbbb" localSheetId="21" hidden="1">{"Minpmon",#N/A,FALSE,"Monthinput"}</definedName>
    <definedName name="bbbb" localSheetId="1" hidden="1">{"Minpmon",#N/A,FALSE,"Monthinput"}</definedName>
    <definedName name="bbbb" localSheetId="0" hidden="1">{"Minpmon",#N/A,FALSE,"Monthinput"}</definedName>
    <definedName name="bbbb" hidden="1">{"Minpmon",#N/A,FALSE,"Monthinput"}</definedName>
    <definedName name="bbbbb" localSheetId="21" hidden="1">{"Riqfin97",#N/A,FALSE,"Tran";"Riqfinpro",#N/A,FALSE,"Tran"}</definedName>
    <definedName name="bbbbb" localSheetId="1" hidden="1">{"Riqfin97",#N/A,FALSE,"Tran";"Riqfinpro",#N/A,FALSE,"Tran"}</definedName>
    <definedName name="bbbbb" localSheetId="0" hidden="1">{"Riqfin97",#N/A,FALSE,"Tran";"Riqfinpro",#N/A,FALSE,"Tran"}</definedName>
    <definedName name="bbbbb" hidden="1">{"Riqfin97",#N/A,FALSE,"Tran";"Riqfinpro",#N/A,FALSE,"Tran"}</definedName>
    <definedName name="bbbbbbg">{"Main Economic Indicators",#N/A,FALSE,"C"}</definedName>
    <definedName name="BBG_J_N_3">'[86]02_Berwerte_ABL'!$M$31</definedName>
    <definedName name="BBG_MTL_N_2">'[86]02_Berwerte_ABL'!$J$31</definedName>
    <definedName name="BBG_NB_MTL_N">'[86]03A_Berwerte_NBL'!$J$28</definedName>
    <definedName name="BBG_NB_MTL_N_1">'[86]03A_Berwerte_NBL'!$J$27</definedName>
    <definedName name="BBG_NB_MTL_N_2">'[86]03A_Berwerte_NBL'!$J$26</definedName>
    <definedName name="BBG_NB_N_J_1">'[86]03A_Berwerte_NBL'!$L$27</definedName>
    <definedName name="BCA">#N/A</definedName>
    <definedName name="BCA_GDP">#N/A</definedName>
    <definedName name="BDEAC">[77]CIRRs!$C$70</definedName>
    <definedName name="BE">#N/A</definedName>
    <definedName name="BEA">'[91]Output WEO'!#REF!</definedName>
    <definedName name="BEAI">#N/A</definedName>
    <definedName name="BEAIB">#N/A</definedName>
    <definedName name="BEAIG">#N/A</definedName>
    <definedName name="BEAP">#N/A</definedName>
    <definedName name="BEAPB">#N/A</definedName>
    <definedName name="BEAPG">#N/A</definedName>
    <definedName name="BED">'[91]Output WEO'!#REF!</definedName>
    <definedName name="BED_6">'[91]Output WEO'!#REF!</definedName>
    <definedName name="BEDE">#REF!</definedName>
    <definedName name="BEF">[77]CIRRs!$C$79</definedName>
    <definedName name="Beitrag">#REF!</definedName>
    <definedName name="BeitragMindest">#REF!</definedName>
    <definedName name="Beitragssatz_N">'[86]02_Berwerte_ABL'!$J$15</definedName>
    <definedName name="Beitragssatz_N_1">'[86]02_Berwerte_ABL'!$J$14</definedName>
    <definedName name="Beitragssatz_N_2">'[86]02_Berwerte_ABL'!#REF!</definedName>
    <definedName name="Belarus">#REF!</definedName>
    <definedName name="Belgium">#REF!</definedName>
    <definedName name="bens">[82]DespCoefs!$C$15:$Q$15</definedName>
    <definedName name="BEO">'[91]Output WEO'!#REF!</definedName>
    <definedName name="BER">'[91]Output WEO'!#REF!</definedName>
    <definedName name="BERI">#N/A</definedName>
    <definedName name="BERIB">#N/A</definedName>
    <definedName name="BERIG">#N/A</definedName>
    <definedName name="BERP">#N/A</definedName>
    <definedName name="BERPB">#N/A</definedName>
    <definedName name="BERPG">#N/A</definedName>
    <definedName name="BEUA">[81]K4!$A$15:$IV$15</definedName>
    <definedName name="Beverages_Beer__Liquor__Soda_etc__33">'[51]9.3'!$A$37:$IV$37</definedName>
    <definedName name="BEZGR_NBL_MTL">'[86]03A_Berwerte_NBL'!$J$24</definedName>
    <definedName name="BEZGR_NBL_MTL_1">'[86]03A_Berwerte_NBL'!$J$23</definedName>
    <definedName name="BEZGR_NBL_MTL_2">'[86]03A_Berwerte_NBL'!$J$22</definedName>
    <definedName name="BF">#N/A</definedName>
    <definedName name="BFD">'[91]Output WEO'!#REF!</definedName>
    <definedName name="BFDA">'[91]Output WEO'!#REF!</definedName>
    <definedName name="BFDI">'[91]Output WEO'!#REF!</definedName>
    <definedName name="BFDIL">'[91]Output WEO'!#REF!</definedName>
    <definedName name="bfftsy" localSheetId="1" hidden="1">[16]ER!#REF!</definedName>
    <definedName name="bfftsy" localSheetId="0" hidden="1">[16]ER!#REF!</definedName>
    <definedName name="bfftsy" hidden="1">[16]ER!#REF!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'[92]AFR -WETA DAta'!#REF!</definedName>
    <definedName name="BFO">'[91]Output WEO'!#REF!</definedName>
    <definedName name="BFO_S">'[92]AFR -WETA DAta'!#REF!</definedName>
    <definedName name="BFOA">'[91]Output WEO'!#REF!</definedName>
    <definedName name="BFOAG">'[91]Output WEO'!#REF!</definedName>
    <definedName name="BFOL">'[91]Output WEO'!#REF!</definedName>
    <definedName name="BFOL_B">'[91]Output WEO'!#REF!</definedName>
    <definedName name="BFOL_G">'[91]Output WEO'!#REF!</definedName>
    <definedName name="BFOL_L">'[91]Output WEO'!#REF!</definedName>
    <definedName name="BFOL_O">'[91]Output WEO'!#REF!</definedName>
    <definedName name="BFOL_S">'[91]Output WEO'!#REF!</definedName>
    <definedName name="BFOLG_L">'[91]Output WEO'!#REF!</definedName>
    <definedName name="BFP">'[91]Output WEO'!#REF!</definedName>
    <definedName name="BFPA">'[91]Output WEO'!#REF!</definedName>
    <definedName name="BFPAG">'[91]Output WEO'!#REF!</definedName>
    <definedName name="BFPL">'[91]Output WEO'!#REF!</definedName>
    <definedName name="BFPLBN">'[91]Output WEO'!#REF!</definedName>
    <definedName name="BFPLD">'[91]Output WEO'!#REF!</definedName>
    <definedName name="BFPLD_G">'[91]Output WEO'!#REF!</definedName>
    <definedName name="BFPLE">'[91]Output WEO'!#REF!</definedName>
    <definedName name="BFPLE_G">'[91]Output WEO'!#REF!</definedName>
    <definedName name="BFPLMM">'[91]Output WEO'!#REF!</definedName>
    <definedName name="BFRA">#N/A</definedName>
    <definedName name="bfsdhtr" localSheetId="1" hidden="1">[16]WB!#REF!</definedName>
    <definedName name="bfsdhtr" localSheetId="0" hidden="1">[16]WB!#REF!</definedName>
    <definedName name="bfsdhtr" hidden="1">[16]WB!#REF!</definedName>
    <definedName name="BFUND">'[91]Output WEO'!#REF!</definedName>
    <definedName name="bg" localSheetId="21" hidden="1">{"Tab1",#N/A,FALSE,"P";"Tab2",#N/A,FALSE,"P"}</definedName>
    <definedName name="bg" localSheetId="1" hidden="1">{"Tab1",#N/A,FALSE,"P";"Tab2",#N/A,FALSE,"P"}</definedName>
    <definedName name="bg" localSheetId="0" hidden="1">{"Tab1",#N/A,FALSE,"P";"Tab2",#N/A,FALSE,"P"}</definedName>
    <definedName name="bg" hidden="1">{"Tab1",#N/A,FALSE,"P";"Tab2",#N/A,FALSE,"P"}</definedName>
    <definedName name="BGS">'[91]Output WEO'!#REF!</definedName>
    <definedName name="BI">#N/A</definedName>
    <definedName name="Bills_Payable_4.">'[51]9.1'!#REF!</definedName>
    <definedName name="Bills_Purchase_and_Discount_2.1">'[51]9.2'!$A$66:$IV$66</definedName>
    <definedName name="Bills_Purchased_39">'[51]9.3ka'!$A$43:$IV$43</definedName>
    <definedName name="Bills_Purchased_7.">'[51]9.1'!$A$437:$IV$437</definedName>
    <definedName name="BIP">'[91]Output WEO'!#REF!</definedName>
    <definedName name="BIPJ">[81]K3!$A$35:$IV$35</definedName>
    <definedName name="BIPJA">[81]K3!$A$36:$IV$36</definedName>
    <definedName name="BIPJN">[81]K3!$A$37:$IV$37</definedName>
    <definedName name="BIPK">[81]K1!$A$35:$IV$35</definedName>
    <definedName name="BIPKA">[81]K1!$A$36:$IV$36</definedName>
    <definedName name="BIPKN">[81]K1!$A$37:$IV$37</definedName>
    <definedName name="BK">#N/A</definedName>
    <definedName name="BKF">#N/A</definedName>
    <definedName name="BKFA">'[91]Output WEO'!#REF!</definedName>
    <definedName name="BKO">'[91]Output WEO'!#REF!</definedName>
    <definedName name="BLGS">[81]K61!$A$10:$IV$10</definedName>
    <definedName name="BLGSA">[81]K61!$A$26:$IV$26</definedName>
    <definedName name="BLGSN">[81]K61!$A$36:$IV$36</definedName>
    <definedName name="BlockEA1_capex">[93]Costs!$L$14:$AY$17</definedName>
    <definedName name="BlockEA1_finance">[93]Control!$D$15:$D$19</definedName>
    <definedName name="BlockEA1_opex_decomm">[93]Costs!$L$54:$AY$55</definedName>
    <definedName name="BlockEA1_prices">[93]Prices!$L$10:$AY$11</definedName>
    <definedName name="BlockEA1_production">[93]Production!$L$12:$AY$13</definedName>
    <definedName name="BlockEA1_production_years">[93]Production!$L$8:$AY$8</definedName>
    <definedName name="BlockEA1_timing">[93]Production!$L$6:$AY$9</definedName>
    <definedName name="BlockEA2_capex">[93]Costs!$L$88:$AY$91</definedName>
    <definedName name="BlockEA2_finance">[93]Control!$D$37:$D$41</definedName>
    <definedName name="BlockEA2_opex_decomm">[93]Costs!$L$128:$AY$129</definedName>
    <definedName name="BlockEA2_prices">[93]Prices!$L$38:$AY$39</definedName>
    <definedName name="BlockEA2_production">[93]Production!$L$41:$AY$42</definedName>
    <definedName name="BlockEA2_production_years">[93]Production!$L$37:$AY$37</definedName>
    <definedName name="BlockEA2_timing">[93]Production!$L$35:$AY$38</definedName>
    <definedName name="BlockEA3A_capex">[93]Costs!$L$163:$AY$166</definedName>
    <definedName name="BlockEA3A_finance">[93]Control!$D$59:$D$63</definedName>
    <definedName name="BlockEA3A_opex_decomm">[93]Costs!$L$204:$AY$205</definedName>
    <definedName name="BlockEA3A_prices">[93]Prices!$L$65:$AY$66</definedName>
    <definedName name="BlockEA3A_production">[93]Production!$L$70:$AY$71</definedName>
    <definedName name="BlockEA3A_production_years">[93]Production!$L$66:$AY$66</definedName>
    <definedName name="BlockEA3A_timing">[93]Production!$L$64:$AY$67</definedName>
    <definedName name="BLPH1" localSheetId="21" hidden="1">#REF!</definedName>
    <definedName name="BLPH1" hidden="1">#REF!</definedName>
    <definedName name="BLPH10" localSheetId="21" hidden="1">#REF!</definedName>
    <definedName name="BLPH10" localSheetId="1" hidden="1">#REF!</definedName>
    <definedName name="BLPH10" localSheetId="0" hidden="1">#REF!</definedName>
    <definedName name="BLPH10" hidden="1">#REF!</definedName>
    <definedName name="BLPH100" localSheetId="21" hidden="1">[94]SpotExchangeRates!#REF!</definedName>
    <definedName name="BLPH100" localSheetId="1" hidden="1">[94]SpotExchangeRates!#REF!</definedName>
    <definedName name="BLPH100" localSheetId="0" hidden="1">[94]SpotExchangeRates!#REF!</definedName>
    <definedName name="BLPH100" hidden="1">[94]SpotExchangeRates!#REF!</definedName>
    <definedName name="BLPH101" localSheetId="21" hidden="1">[94]SpotExchangeRates!#REF!</definedName>
    <definedName name="BLPH101" hidden="1">[94]SpotExchangeRates!#REF!</definedName>
    <definedName name="BLPH102" localSheetId="21" hidden="1">[94]SpotExchangeRates!#REF!</definedName>
    <definedName name="BLPH102" hidden="1">[94]SpotExchangeRates!#REF!</definedName>
    <definedName name="BLPH103" localSheetId="21" hidden="1">[94]SpotExchangeRates!#REF!</definedName>
    <definedName name="BLPH103" hidden="1">[94]SpotExchangeRates!#REF!</definedName>
    <definedName name="BLPH104" hidden="1">[94]SpotExchangeRates!#REF!</definedName>
    <definedName name="BLPH105" hidden="1">[94]SpotExchangeRates!#REF!</definedName>
    <definedName name="BLPH106" hidden="1">[94]SpotExchangeRates!#REF!</definedName>
    <definedName name="BLPH107" hidden="1">[94]SpotExchangeRates!#REF!</definedName>
    <definedName name="BLPH108" hidden="1">[94]SpotExchangeRates!#REF!</definedName>
    <definedName name="BLPH109" hidden="1">[94]SpotExchangeRates!#REF!</definedName>
    <definedName name="BLPH110" hidden="1">[94]SpotExchangeRates!#REF!</definedName>
    <definedName name="BLPH111" hidden="1">[94]SpotExchangeRates!#REF!</definedName>
    <definedName name="BLPH112" hidden="1">[94]SpotExchangeRates!#REF!</definedName>
    <definedName name="BLPH113" hidden="1">[94]SpotExchangeRates!#REF!</definedName>
    <definedName name="BLPH114" hidden="1">[94]SpotExchangeRates!#REF!</definedName>
    <definedName name="BLPH115" hidden="1">[94]SpotExchangeRates!#REF!</definedName>
    <definedName name="BLPH116" hidden="1">[94]SpotExchangeRates!#REF!</definedName>
    <definedName name="BLPH117" hidden="1">[94]SpotExchangeRates!#REF!</definedName>
    <definedName name="BLPH118" hidden="1">[94]SpotExchangeRates!#REF!</definedName>
    <definedName name="BLPH119" hidden="1">[94]SpotExchangeRates!#REF!</definedName>
    <definedName name="BLPH12" localSheetId="21" hidden="1">#REF!</definedName>
    <definedName name="BLPH12" localSheetId="1" hidden="1">#REF!</definedName>
    <definedName name="BLPH12" localSheetId="0" hidden="1">#REF!</definedName>
    <definedName name="BLPH12" hidden="1">#REF!</definedName>
    <definedName name="BLPH120" localSheetId="21" hidden="1">[94]SpotExchangeRates!#REF!</definedName>
    <definedName name="BLPH120" localSheetId="1" hidden="1">[94]SpotExchangeRates!#REF!</definedName>
    <definedName name="BLPH120" localSheetId="0" hidden="1">[94]SpotExchangeRates!#REF!</definedName>
    <definedName name="BLPH120" hidden="1">[94]SpotExchangeRates!#REF!</definedName>
    <definedName name="BLPH121" localSheetId="21" hidden="1">[94]SpotExchangeRates!#REF!</definedName>
    <definedName name="BLPH121" hidden="1">[94]SpotExchangeRates!#REF!</definedName>
    <definedName name="BLPH122" hidden="1">[94]SpotExchangeRates!#REF!</definedName>
    <definedName name="BLPH123" hidden="1">[94]SpotExchangeRates!#REF!</definedName>
    <definedName name="BLPH124" hidden="1">[94]SpotExchangeRates!#REF!</definedName>
    <definedName name="BLPH125" hidden="1">[94]SpotExchangeRates!#REF!</definedName>
    <definedName name="BLPH126" hidden="1">[94]SpotExchangeRates!#REF!</definedName>
    <definedName name="BLPH127" hidden="1">[94]SpotExchangeRates!#REF!</definedName>
    <definedName name="BLPH128" hidden="1">[94]SpotExchangeRates!#REF!</definedName>
    <definedName name="BLPH129" hidden="1">[94]SpotExchangeRates!#REF!</definedName>
    <definedName name="BLPH13" localSheetId="21" hidden="1">#REF!</definedName>
    <definedName name="BLPH13" localSheetId="1" hidden="1">#REF!</definedName>
    <definedName name="BLPH13" localSheetId="0" hidden="1">#REF!</definedName>
    <definedName name="BLPH13" hidden="1">#REF!</definedName>
    <definedName name="BLPH130" localSheetId="21" hidden="1">[94]SpotExchangeRates!#REF!</definedName>
    <definedName name="BLPH130" localSheetId="1" hidden="1">[94]SpotExchangeRates!#REF!</definedName>
    <definedName name="BLPH130" localSheetId="0" hidden="1">[94]SpotExchangeRates!#REF!</definedName>
    <definedName name="BLPH130" hidden="1">[94]SpotExchangeRates!#REF!</definedName>
    <definedName name="BLPH131" localSheetId="21" hidden="1">[94]SpotExchangeRates!#REF!</definedName>
    <definedName name="BLPH131" hidden="1">[94]SpotExchangeRates!#REF!</definedName>
    <definedName name="BLPH132" hidden="1">[94]SpotExchangeRates!#REF!</definedName>
    <definedName name="BLPH133" hidden="1">[94]SpotExchangeRates!#REF!</definedName>
    <definedName name="BLPH134" hidden="1">[94]SpotExchangeRates!#REF!</definedName>
    <definedName name="BLPH135" hidden="1">[94]SpotExchangeRates!#REF!</definedName>
    <definedName name="BLPH136" hidden="1">[94]SpotExchangeRates!#REF!</definedName>
    <definedName name="BLPH137" hidden="1">[94]SpotExchangeRates!#REF!</definedName>
    <definedName name="BLPH138" hidden="1">[94]SpotExchangeRates!#REF!</definedName>
    <definedName name="BLPH139" hidden="1">[94]SpotExchangeRates!#REF!</definedName>
    <definedName name="BLPH14" hidden="1">[95]Raw_1!#REF!</definedName>
    <definedName name="BLPH140" hidden="1">[94]SpotExchangeRates!#REF!</definedName>
    <definedName name="BLPH141" hidden="1">[94]SpotExchangeRates!#REF!</definedName>
    <definedName name="BLPH142" hidden="1">[94]SpotExchangeRates!#REF!</definedName>
    <definedName name="BLPH143" hidden="1">[94]SpotExchangeRates!#REF!</definedName>
    <definedName name="BLPH144" hidden="1">[94]SpotExchangeRates!#REF!</definedName>
    <definedName name="BLPH145" hidden="1">[94]SpotExchangeRates!#REF!</definedName>
    <definedName name="BLPH146" hidden="1">[94]SpotExchangeRates!#REF!</definedName>
    <definedName name="BLPH147" hidden="1">[94]SpotExchangeRates!#REF!</definedName>
    <definedName name="BLPH148" hidden="1">[94]SpotExchangeRates!#REF!</definedName>
    <definedName name="BLPH149" hidden="1">[94]SpotExchangeRates!#REF!</definedName>
    <definedName name="BLPH15" hidden="1">[94]SpotExchangeRates!#REF!</definedName>
    <definedName name="BLPH150" hidden="1">[94]SpotExchangeRates!#REF!</definedName>
    <definedName name="BLPH151" hidden="1">[94]SpotExchangeRates!#REF!</definedName>
    <definedName name="BLPH152" hidden="1">[94]SpotExchangeRates!#REF!</definedName>
    <definedName name="BLPH153" hidden="1">[94]SpotExchangeRates!#REF!</definedName>
    <definedName name="BLPH154" hidden="1">[94]SpotExchangeRates!#REF!</definedName>
    <definedName name="BLPH155" hidden="1">[94]SpotExchangeRates!#REF!</definedName>
    <definedName name="BLPH156" hidden="1">[94]SpotExchangeRates!#REF!</definedName>
    <definedName name="BLPH157" hidden="1">[94]SpotExchangeRates!#REF!</definedName>
    <definedName name="BLPH158" hidden="1">[94]SpotExchangeRates!#REF!</definedName>
    <definedName name="BLPH159" hidden="1">[94]SpotExchangeRates!#REF!</definedName>
    <definedName name="BLPH16" hidden="1">[94]SpotExchangeRates!#REF!</definedName>
    <definedName name="BLPH160" hidden="1">[94]SpotExchangeRates!#REF!</definedName>
    <definedName name="BLPH161" hidden="1">[94]SpotExchangeRates!#REF!</definedName>
    <definedName name="BLPH162" hidden="1">[94]SpotExchangeRates!#REF!</definedName>
    <definedName name="BLPH163" hidden="1">[94]SpotExchangeRates!#REF!</definedName>
    <definedName name="BLPH164" hidden="1">[94]StockMarketIndices!#REF!</definedName>
    <definedName name="BLPH165" hidden="1">[94]StockMarketIndices!#REF!</definedName>
    <definedName name="BLPH166" hidden="1">[94]StockMarketIndices!$J$7</definedName>
    <definedName name="BLPH167" hidden="1">[94]StockMarketIndices!$I$7</definedName>
    <definedName name="BLPH168" hidden="1">[94]StockMarketIndices!$H$7</definedName>
    <definedName name="BLPH169" localSheetId="21" hidden="1">[94]StockMarketIndices!#REF!</definedName>
    <definedName name="BLPH169" localSheetId="1" hidden="1">[94]StockMarketIndices!#REF!</definedName>
    <definedName name="BLPH169" localSheetId="0" hidden="1">[94]StockMarketIndices!#REF!</definedName>
    <definedName name="BLPH169" hidden="1">[94]StockMarketIndices!#REF!</definedName>
    <definedName name="BLPH17" localSheetId="21" hidden="1">[94]SpotExchangeRates!#REF!</definedName>
    <definedName name="BLPH17" localSheetId="1" hidden="1">[94]SpotExchangeRates!#REF!</definedName>
    <definedName name="BLPH17" localSheetId="0" hidden="1">[94]SpotExchangeRates!#REF!</definedName>
    <definedName name="BLPH17" hidden="1">[94]SpotExchangeRates!#REF!</definedName>
    <definedName name="BLPH170" localSheetId="21" hidden="1">[94]StockMarketIndices!#REF!</definedName>
    <definedName name="BLPH170" localSheetId="1" hidden="1">[94]StockMarketIndices!#REF!</definedName>
    <definedName name="BLPH170" localSheetId="0" hidden="1">[94]StockMarketIndices!#REF!</definedName>
    <definedName name="BLPH170" hidden="1">[94]StockMarketIndices!#REF!</definedName>
    <definedName name="BLPH171" hidden="1">[94]StockMarketIndices!$G$7</definedName>
    <definedName name="BLPH172" hidden="1">[94]StockMarketIndices!$F$7</definedName>
    <definedName name="BLPH173" localSheetId="21" hidden="1">[94]StockMarketIndices!#REF!</definedName>
    <definedName name="BLPH173" localSheetId="1" hidden="1">[94]StockMarketIndices!#REF!</definedName>
    <definedName name="BLPH173" localSheetId="0" hidden="1">[94]StockMarketIndices!#REF!</definedName>
    <definedName name="BLPH173" hidden="1">[94]StockMarketIndices!#REF!</definedName>
    <definedName name="BLPH174" hidden="1">[94]StockMarketIndices!$E$7</definedName>
    <definedName name="BLPH175" localSheetId="21" hidden="1">[94]StockMarketIndices!#REF!</definedName>
    <definedName name="BLPH175" localSheetId="1" hidden="1">[94]StockMarketIndices!#REF!</definedName>
    <definedName name="BLPH175" localSheetId="0" hidden="1">[94]StockMarketIndices!#REF!</definedName>
    <definedName name="BLPH175" hidden="1">[94]StockMarketIndices!#REF!</definedName>
    <definedName name="BLPH176" hidden="1">[94]StockMarketIndices!$D$7</definedName>
    <definedName name="BLPH177" hidden="1">[94]StockMarketIndices!$B$7</definedName>
    <definedName name="BLPH18" localSheetId="21" hidden="1">[94]SpotExchangeRates!#REF!</definedName>
    <definedName name="BLPH18" localSheetId="1" hidden="1">[94]SpotExchangeRates!#REF!</definedName>
    <definedName name="BLPH18" localSheetId="0" hidden="1">[94]SpotExchangeRates!#REF!</definedName>
    <definedName name="BLPH18" hidden="1">[94]SpotExchangeRates!#REF!</definedName>
    <definedName name="BLPH19" localSheetId="21" hidden="1">[94]SpotExchangeRates!#REF!</definedName>
    <definedName name="BLPH19" localSheetId="1" hidden="1">[94]SpotExchangeRates!#REF!</definedName>
    <definedName name="BLPH19" localSheetId="0" hidden="1">[94]SpotExchangeRates!#REF!</definedName>
    <definedName name="BLPH19" hidden="1">[94]SpotExchangeRates!#REF!</definedName>
    <definedName name="BLPH1A3">#REF!</definedName>
    <definedName name="BLPH1B7">#REF!</definedName>
    <definedName name="BLPH1C5">#REF!</definedName>
    <definedName name="BLPH1C7">#REF!</definedName>
    <definedName name="BLPH1D3">[96]Bloomberg!#REF!</definedName>
    <definedName name="BLPH1D5">#REF!</definedName>
    <definedName name="BLPH1E5">#REF!</definedName>
    <definedName name="BLPH1F5">#REF!</definedName>
    <definedName name="BLPH1G5">#REF!</definedName>
    <definedName name="BLPH2" localSheetId="21" hidden="1">#REF!</definedName>
    <definedName name="BLPH2" hidden="1">#REF!</definedName>
    <definedName name="BLPH20" localSheetId="21" hidden="1">[94]SpotExchangeRates!#REF!</definedName>
    <definedName name="BLPH20" localSheetId="1" hidden="1">[94]SpotExchangeRates!#REF!</definedName>
    <definedName name="BLPH20" localSheetId="0" hidden="1">[94]SpotExchangeRates!#REF!</definedName>
    <definedName name="BLPH20" hidden="1">[94]SpotExchangeRates!#REF!</definedName>
    <definedName name="BLPH20023" localSheetId="21" hidden="1">#REF!</definedName>
    <definedName name="BLPH20023" localSheetId="1" hidden="1">#REF!</definedName>
    <definedName name="BLPH20023" localSheetId="0" hidden="1">#REF!</definedName>
    <definedName name="BLPH20023" hidden="1">#REF!</definedName>
    <definedName name="BLPH21" localSheetId="21" hidden="1">[94]SpotExchangeRates!#REF!</definedName>
    <definedName name="BLPH21" localSheetId="1" hidden="1">[94]SpotExchangeRates!#REF!</definedName>
    <definedName name="BLPH21" localSheetId="0" hidden="1">[94]SpotExchangeRates!#REF!</definedName>
    <definedName name="BLPH21" hidden="1">[94]SpotExchangeRates!#REF!</definedName>
    <definedName name="BLPH22" localSheetId="21" hidden="1">[94]SpotExchangeRates!#REF!</definedName>
    <definedName name="BLPH22" localSheetId="1" hidden="1">[94]SpotExchangeRates!#REF!</definedName>
    <definedName name="BLPH22" localSheetId="0" hidden="1">[94]SpotExchangeRates!#REF!</definedName>
    <definedName name="BLPH22" hidden="1">[94]SpotExchangeRates!#REF!</definedName>
    <definedName name="BLPH23" localSheetId="21" hidden="1">[94]SpotExchangeRates!#REF!</definedName>
    <definedName name="BLPH23" localSheetId="1" hidden="1">[94]SpotExchangeRates!#REF!</definedName>
    <definedName name="BLPH23" localSheetId="0" hidden="1">[94]SpotExchangeRates!#REF!</definedName>
    <definedName name="BLPH23" hidden="1">[94]SpotExchangeRates!#REF!</definedName>
    <definedName name="BLPH24" localSheetId="21" hidden="1">[94]SpotExchangeRates!#REF!</definedName>
    <definedName name="BLPH24" localSheetId="1" hidden="1">[94]SpotExchangeRates!#REF!</definedName>
    <definedName name="BLPH24" localSheetId="0" hidden="1">[94]SpotExchangeRates!#REF!</definedName>
    <definedName name="BLPH24" hidden="1">[94]SpotExchangeRates!#REF!</definedName>
    <definedName name="BLPH25" localSheetId="21" hidden="1">[94]SpotExchangeRates!#REF!</definedName>
    <definedName name="BLPH25" localSheetId="1" hidden="1">[94]SpotExchangeRates!#REF!</definedName>
    <definedName name="BLPH25" localSheetId="0" hidden="1">[94]SpotExchangeRates!#REF!</definedName>
    <definedName name="BLPH25" hidden="1">[94]SpotExchangeRates!#REF!</definedName>
    <definedName name="BLPH26" hidden="1">[94]SpotExchangeRates!#REF!</definedName>
    <definedName name="BLPH27" hidden="1">[94]SpotExchangeRates!#REF!</definedName>
    <definedName name="BLPH28" hidden="1">[94]SpotExchangeRates!#REF!</definedName>
    <definedName name="BLPH29" hidden="1">[94]SpotExchangeRates!#REF!</definedName>
    <definedName name="BLPH2A8">#REF!</definedName>
    <definedName name="BLPH2B8">#REF!</definedName>
    <definedName name="BLPH2C8">#REF!</definedName>
    <definedName name="BLPH2E10">[97]embi_day!#REF!</definedName>
    <definedName name="BLPH2F10">[97]embi_day!#REF!</definedName>
    <definedName name="BLPH2G10">[97]embi_day!#REF!</definedName>
    <definedName name="BLPH2K10">[97]embi_day!#REF!</definedName>
    <definedName name="BLPH2L10">[97]embi_day!#REF!</definedName>
    <definedName name="BLPH2M10">[97]embi_day!#REF!</definedName>
    <definedName name="BLPH2N10">[97]embi_day!#REF!</definedName>
    <definedName name="BLPH2O10">[97]embi_day!#REF!</definedName>
    <definedName name="BLPH2P10">[97]embi_day!#REF!</definedName>
    <definedName name="BLPH2Q10">[97]embi_day!#REF!</definedName>
    <definedName name="BLPH3" hidden="1">[98]dataEmbiDeficit!#REF!</definedName>
    <definedName name="BLPH30" localSheetId="1" hidden="1">[94]SpotExchangeRates!#REF!</definedName>
    <definedName name="BLPH30" localSheetId="0" hidden="1">[94]SpotExchangeRates!#REF!</definedName>
    <definedName name="BLPH30" hidden="1">[94]SpotExchangeRates!#REF!</definedName>
    <definedName name="BLPH31" localSheetId="1" hidden="1">[94]SpotExchangeRates!#REF!</definedName>
    <definedName name="BLPH31" localSheetId="0" hidden="1">[94]SpotExchangeRates!#REF!</definedName>
    <definedName name="BLPH31" hidden="1">[94]SpotExchangeRates!#REF!</definedName>
    <definedName name="BLPH32" localSheetId="1" hidden="1">[94]SpotExchangeRates!#REF!</definedName>
    <definedName name="BLPH32" localSheetId="0" hidden="1">[94]SpotExchangeRates!#REF!</definedName>
    <definedName name="BLPH32" hidden="1">[94]SpotExchangeRates!#REF!</definedName>
    <definedName name="BLPH33" localSheetId="1" hidden="1">[94]SpotExchangeRates!#REF!</definedName>
    <definedName name="BLPH33" localSheetId="0" hidden="1">[94]SpotExchangeRates!#REF!</definedName>
    <definedName name="BLPH33" hidden="1">[94]SpotExchangeRates!#REF!</definedName>
    <definedName name="BLPH34" hidden="1">[94]SpotExchangeRates!#REF!</definedName>
    <definedName name="BLPH35" hidden="1">[94]SpotExchangeRates!#REF!</definedName>
    <definedName name="BLPH36" hidden="1">[94]SpotExchangeRates!#REF!</definedName>
    <definedName name="BLPH37" hidden="1">[94]SpotExchangeRates!#REF!</definedName>
    <definedName name="BLPH38" hidden="1">[94]SpotExchangeRates!#REF!</definedName>
    <definedName name="BLPH39" hidden="1">[94]SpotExchangeRates!#REF!</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hidden="1">[98]dataEmbiDeficit!#REF!</definedName>
    <definedName name="BLPH40" localSheetId="1" hidden="1">[94]SpotExchangeRates!#REF!</definedName>
    <definedName name="BLPH40" localSheetId="0" hidden="1">[94]SpotExchangeRates!#REF!</definedName>
    <definedName name="BLPH40" hidden="1">[94]SpotExchangeRates!#REF!</definedName>
    <definedName name="BLPH40000004" hidden="1">[99]SPOTS!$A$7</definedName>
    <definedName name="BLPH40000007" hidden="1">[99]SPOTS!$B$7</definedName>
    <definedName name="BLPH40000008" hidden="1">[99]SPOTS!$B$8</definedName>
    <definedName name="BLPH40000009" hidden="1">[99]SPOTS!$B$9</definedName>
    <definedName name="BLPH4000002" localSheetId="21" hidden="1">[97]embi_day!#REF!</definedName>
    <definedName name="BLPH4000002" localSheetId="1" hidden="1">[97]embi_day!#REF!</definedName>
    <definedName name="BLPH4000002" localSheetId="0" hidden="1">[97]embi_day!#REF!</definedName>
    <definedName name="BLPH4000002" hidden="1">[97]embi_day!#REF!</definedName>
    <definedName name="BLPH40000026" hidden="1">[99]FUTURES!$I$18</definedName>
    <definedName name="BLPH40000027" hidden="1">[99]FUTURES!$I$21</definedName>
    <definedName name="BLPH40000028" hidden="1">[99]FUTURES!$I$22</definedName>
    <definedName name="BLPH4000003" localSheetId="21" hidden="1">[97]embi_day!#REF!</definedName>
    <definedName name="BLPH4000003" localSheetId="1" hidden="1">[97]embi_day!#REF!</definedName>
    <definedName name="BLPH4000003" localSheetId="0" hidden="1">[97]embi_day!#REF!</definedName>
    <definedName name="BLPH4000003" hidden="1">[97]embi_day!#REF!</definedName>
    <definedName name="BLPH40000036" hidden="1">[99]FUTURES!$H$6</definedName>
    <definedName name="BLPH4000004" localSheetId="21" hidden="1">[97]embi_day!#REF!</definedName>
    <definedName name="BLPH4000004" localSheetId="1" hidden="1">[97]embi_day!#REF!</definedName>
    <definedName name="BLPH4000004" localSheetId="0" hidden="1">[97]embi_day!#REF!</definedName>
    <definedName name="BLPH4000004" hidden="1">[97]embi_day!#REF!</definedName>
    <definedName name="BLPH4000005" localSheetId="21" hidden="1">[97]embi_day!#REF!</definedName>
    <definedName name="BLPH4000005" localSheetId="1" hidden="1">[97]embi_day!#REF!</definedName>
    <definedName name="BLPH4000005" localSheetId="0" hidden="1">[97]embi_day!#REF!</definedName>
    <definedName name="BLPH4000005" hidden="1">[97]embi_day!#REF!</definedName>
    <definedName name="BLPH40000050" hidden="1">[99]FUTURES!$I$6</definedName>
    <definedName name="BLPH40000058" hidden="1">[99]FUTURES!$H$23</definedName>
    <definedName name="BLPH40000059" hidden="1">[99]SPOTS!$D$7</definedName>
    <definedName name="BLPH4000006" localSheetId="21" hidden="1">[97]embi_day!#REF!</definedName>
    <definedName name="BLPH4000006" localSheetId="1" hidden="1">[97]embi_day!#REF!</definedName>
    <definedName name="BLPH4000006" localSheetId="0" hidden="1">[97]embi_day!#REF!</definedName>
    <definedName name="BLPH4000006" hidden="1">[97]embi_day!#REF!</definedName>
    <definedName name="BLPH40000060" hidden="1">[99]SPOTS!$F$7</definedName>
    <definedName name="BLPH40000061" hidden="1">[99]SPOTS!$H$7</definedName>
    <definedName name="BLPH40000062" hidden="1">[99]FUTURES!$H$17</definedName>
    <definedName name="BLPH40000063" hidden="1">[99]FUTURES!$H$16</definedName>
    <definedName name="BLPH40000064" hidden="1">[99]FUTURES!$H$15</definedName>
    <definedName name="BLPH40000065" hidden="1">[99]FUTURES!$H$14</definedName>
    <definedName name="BLPH40000066" hidden="1">[99]FUTURES!$H$13</definedName>
    <definedName name="BLPH40000067" hidden="1">[99]FUTURES!$H$12</definedName>
    <definedName name="BLPH40000068" hidden="1">[99]FUTURES!$H$11</definedName>
    <definedName name="BLPH40000069" hidden="1">[99]FUTURES!$H$10</definedName>
    <definedName name="BLPH4000007" localSheetId="21" hidden="1">[97]embi_day!#REF!</definedName>
    <definedName name="BLPH4000007" localSheetId="1" hidden="1">[97]embi_day!#REF!</definedName>
    <definedName name="BLPH4000007" localSheetId="0" hidden="1">[97]embi_day!#REF!</definedName>
    <definedName name="BLPH4000007" hidden="1">[97]embi_day!#REF!</definedName>
    <definedName name="BLPH40000070" hidden="1">[99]FUTURES!$H$9</definedName>
    <definedName name="BLPH40000071" hidden="1">[99]FUTURES!$H$7</definedName>
    <definedName name="BLPH40000073" hidden="1">[99]FUTURES!$I$9</definedName>
    <definedName name="BLPH40000074" hidden="1">[99]FUTURES!$I$12</definedName>
    <definedName name="BLPH40000075" hidden="1">[99]FUTURES!$H$24</definedName>
    <definedName name="BLPH4000008" localSheetId="21" hidden="1">[97]embi_day!#REF!</definedName>
    <definedName name="BLPH4000008" localSheetId="1" hidden="1">[97]embi_day!#REF!</definedName>
    <definedName name="BLPH4000008" localSheetId="0" hidden="1">[97]embi_day!#REF!</definedName>
    <definedName name="BLPH4000008" hidden="1">[97]embi_day!#REF!</definedName>
    <definedName name="BLPH4000009" localSheetId="21" hidden="1">[97]embi_day!#REF!</definedName>
    <definedName name="BLPH4000009" localSheetId="1" hidden="1">[97]embi_day!#REF!</definedName>
    <definedName name="BLPH4000009" localSheetId="0" hidden="1">[97]embi_day!#REF!</definedName>
    <definedName name="BLPH4000009" hidden="1">[97]embi_day!#REF!</definedName>
    <definedName name="BLPH4000011" localSheetId="21" hidden="1">[97]embi_day!#REF!</definedName>
    <definedName name="BLPH4000011" localSheetId="1" hidden="1">[97]embi_day!#REF!</definedName>
    <definedName name="BLPH4000011" localSheetId="0" hidden="1">[97]embi_day!#REF!</definedName>
    <definedName name="BLPH4000011" hidden="1">[97]embi_day!#REF!</definedName>
    <definedName name="BLPH4000012" localSheetId="21" hidden="1">[97]embi_day!#REF!</definedName>
    <definedName name="BLPH4000012" localSheetId="1" hidden="1">[97]embi_day!#REF!</definedName>
    <definedName name="BLPH4000012" localSheetId="0" hidden="1">[97]embi_day!#REF!</definedName>
    <definedName name="BLPH4000012" hidden="1">[97]embi_day!#REF!</definedName>
    <definedName name="BLPH4000014" hidden="1">[97]embi_day!#REF!</definedName>
    <definedName name="BLPH4000015" hidden="1">[97]embi_day!#REF!</definedName>
    <definedName name="BLPH41" hidden="1">[94]SpotExchangeRates!#REF!</definedName>
    <definedName name="BLPH42" hidden="1">[94]SpotExchangeRates!#REF!</definedName>
    <definedName name="BLPH43" hidden="1">[94]SpotExchangeRates!#REF!</definedName>
    <definedName name="BLPH44" hidden="1">[94]SpotExchangeRates!#REF!</definedName>
    <definedName name="BLPH45" hidden="1">[94]SpotExchangeRates!#REF!</definedName>
    <definedName name="BLPH46" hidden="1">[94]SpotExchangeRates!#REF!</definedName>
    <definedName name="BLPH47" localSheetId="21" hidden="1">#REF!</definedName>
    <definedName name="BLPH47" localSheetId="1" hidden="1">#REF!</definedName>
    <definedName name="BLPH47" localSheetId="0" hidden="1">#REF!</definedName>
    <definedName name="BLPH47" hidden="1">#REF!</definedName>
    <definedName name="BLPH4D6">[97]embi_day!#REF!</definedName>
    <definedName name="BLPH4E10">[97]embi_day!#REF!</definedName>
    <definedName name="BLPH4E6">[97]embi_day!#REF!</definedName>
    <definedName name="BLPH4F10">[97]embi_day!#REF!</definedName>
    <definedName name="BLPH4F6">[97]embi_day!#REF!</definedName>
    <definedName name="BLPH4G10">[97]embi_day!#REF!</definedName>
    <definedName name="BLPH4G6">[97]embi_day!#REF!</definedName>
    <definedName name="BLPH4H6">[97]embi_day!#REF!</definedName>
    <definedName name="BLPH4I6">[97]embi_day!#REF!</definedName>
    <definedName name="BLPH4J6">[97]embi_day!#REF!</definedName>
    <definedName name="BLPH4K10">[97]embi_day!#REF!</definedName>
    <definedName name="BLPH4K6">[97]embi_day!#REF!</definedName>
    <definedName name="BLPH4L10">[97]embi_day!#REF!</definedName>
    <definedName name="BLPH4L6">[97]embi_day!#REF!</definedName>
    <definedName name="BLPH4M10">[97]embi_day!#REF!</definedName>
    <definedName name="BLPH4M6">[97]embi_day!#REF!</definedName>
    <definedName name="BLPH4N10">[97]embi_day!#REF!</definedName>
    <definedName name="BLPH4N6">[97]embi_day!#REF!</definedName>
    <definedName name="BLPH4O10">[97]embi_day!#REF!</definedName>
    <definedName name="BLPH4O6">[97]embi_day!#REF!</definedName>
    <definedName name="BLPH4P10">[97]embi_day!#REF!</definedName>
    <definedName name="BLPH4Q10">[97]embi_day!#REF!</definedName>
    <definedName name="BLPH4Q6">[97]embi_day!#REF!</definedName>
    <definedName name="BLPH4R6">[97]embi_day!#REF!</definedName>
    <definedName name="BLPH4S6">[97]embi_day!#REF!</definedName>
    <definedName name="BLPH4T6">[97]embi_day!#REF!</definedName>
    <definedName name="BLPH4U6">[97]embi_day!#REF!</definedName>
    <definedName name="BLPH4W6">[97]embi_day!#REF!</definedName>
    <definedName name="BLPH4X6">[97]embi_day!#REF!</definedName>
    <definedName name="BLPH4Z6">[97]embi_day!#REF!</definedName>
    <definedName name="BLPH5" localSheetId="21" hidden="1">#REF!</definedName>
    <definedName name="BLPH5" hidden="1">#REF!</definedName>
    <definedName name="BLPH56" localSheetId="21" hidden="1">[94]SpotExchangeRates!#REF!</definedName>
    <definedName name="BLPH56" localSheetId="1" hidden="1">[94]SpotExchangeRates!#REF!</definedName>
    <definedName name="BLPH56" localSheetId="0" hidden="1">[94]SpotExchangeRates!#REF!</definedName>
    <definedName name="BLPH56" hidden="1">[94]SpotExchangeRates!#REF!</definedName>
    <definedName name="BLPH57" localSheetId="21" hidden="1">[94]SpotExchangeRates!#REF!</definedName>
    <definedName name="BLPH57" localSheetId="1" hidden="1">[94]SpotExchangeRates!#REF!</definedName>
    <definedName name="BLPH57" localSheetId="0" hidden="1">[94]SpotExchangeRates!#REF!</definedName>
    <definedName name="BLPH57" hidden="1">[94]SpotExchangeRates!#REF!</definedName>
    <definedName name="BLPH58" localSheetId="1" hidden="1">[94]SpotExchangeRates!#REF!</definedName>
    <definedName name="BLPH58" localSheetId="0" hidden="1">[94]SpotExchangeRates!#REF!</definedName>
    <definedName name="BLPH58" hidden="1">[94]SpotExchangeRates!#REF!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 localSheetId="21" hidden="1">#REF!</definedName>
    <definedName name="BLPH6" hidden="1">#REF!</definedName>
    <definedName name="BLPH7" hidden="1">[94]SpotExchangeRates!#REF!</definedName>
    <definedName name="BLPH78" localSheetId="1" hidden="1">[97]GenericIR!#REF!</definedName>
    <definedName name="BLPH78" localSheetId="0" hidden="1">[97]GenericIR!#REF!</definedName>
    <definedName name="BLPH78" hidden="1">[97]GenericIR!#REF!</definedName>
    <definedName name="BLPH8" hidden="1">'[100]Ex rate bloom'!$V$4</definedName>
    <definedName name="BLPH86" localSheetId="21" hidden="1">[94]SpotExchangeRates!#REF!</definedName>
    <definedName name="BLPH86" localSheetId="1" hidden="1">[94]SpotExchangeRates!#REF!</definedName>
    <definedName name="BLPH86" localSheetId="0" hidden="1">[94]SpotExchangeRates!#REF!</definedName>
    <definedName name="BLPH86" hidden="1">[94]SpotExchangeRates!#REF!</definedName>
    <definedName name="BLPH87" localSheetId="21" hidden="1">[94]SpotExchangeRates!#REF!</definedName>
    <definedName name="BLPH87" localSheetId="1" hidden="1">[94]SpotExchangeRates!#REF!</definedName>
    <definedName name="BLPH87" localSheetId="0" hidden="1">[94]SpotExchangeRates!#REF!</definedName>
    <definedName name="BLPH87" hidden="1">[94]SpotExchangeRates!#REF!</definedName>
    <definedName name="BLPH88" hidden="1">[94]SpotExchangeRates!$D$10</definedName>
    <definedName name="BLPH89" localSheetId="21" hidden="1">[94]SpotExchangeRates!#REF!</definedName>
    <definedName name="BLPH89" localSheetId="1" hidden="1">[94]SpotExchangeRates!#REF!</definedName>
    <definedName name="BLPH89" localSheetId="0" hidden="1">[94]SpotExchangeRates!#REF!</definedName>
    <definedName name="BLPH89" hidden="1">[94]SpotExchangeRates!#REF!</definedName>
    <definedName name="BLPH9" localSheetId="21" hidden="1">'[101]Excel History Wizard'!#REF!</definedName>
    <definedName name="BLPH9" localSheetId="1" hidden="1">'[101]Excel History Wizard'!#REF!</definedName>
    <definedName name="BLPH9" localSheetId="0" hidden="1">'[101]Excel History Wizard'!#REF!</definedName>
    <definedName name="BLPH9" hidden="1">'[101]Excel History Wizard'!#REF!</definedName>
    <definedName name="BLPH90" hidden="1">[94]SpotExchangeRates!$E$10</definedName>
    <definedName name="BLPH91" hidden="1">[94]SpotExchangeRates!$F$10</definedName>
    <definedName name="BLPH92" localSheetId="21" hidden="1">[94]SpotExchangeRates!#REF!</definedName>
    <definedName name="BLPH92" localSheetId="1" hidden="1">[94]SpotExchangeRates!#REF!</definedName>
    <definedName name="BLPH92" localSheetId="0" hidden="1">[94]SpotExchangeRates!#REF!</definedName>
    <definedName name="BLPH92" hidden="1">[94]SpotExchangeRates!#REF!</definedName>
    <definedName name="BLPH93" localSheetId="21" hidden="1">[94]SpotExchangeRates!#REF!</definedName>
    <definedName name="BLPH93" localSheetId="1" hidden="1">[94]SpotExchangeRates!#REF!</definedName>
    <definedName name="BLPH93" localSheetId="0" hidden="1">[94]SpotExchangeRates!#REF!</definedName>
    <definedName name="BLPH93" hidden="1">[94]SpotExchangeRates!#REF!</definedName>
    <definedName name="BLPH94" hidden="1">[94]SpotExchangeRates!$G$10</definedName>
    <definedName name="BLPH95" hidden="1">[94]SpotExchangeRates!$H$10</definedName>
    <definedName name="BLPH96" hidden="1">[94]SpotExchangeRates!$I$10</definedName>
    <definedName name="BLPH97" localSheetId="21" hidden="1">[94]SpotExchangeRates!#REF!</definedName>
    <definedName name="BLPH97" localSheetId="1" hidden="1">[94]SpotExchangeRates!#REF!</definedName>
    <definedName name="BLPH97" localSheetId="0" hidden="1">[94]SpotExchangeRates!#REF!</definedName>
    <definedName name="BLPH97" hidden="1">[94]SpotExchangeRates!#REF!</definedName>
    <definedName name="BLPH98" localSheetId="21" hidden="1">[94]SpotExchangeRates!#REF!</definedName>
    <definedName name="BLPH98" localSheetId="1" hidden="1">[94]SpotExchangeRates!#REF!</definedName>
    <definedName name="BLPH98" localSheetId="0" hidden="1">[94]SpotExchangeRates!#REF!</definedName>
    <definedName name="BLPH98" hidden="1">[94]SpotExchangeRates!#REF!</definedName>
    <definedName name="BLPH99" localSheetId="21" hidden="1">[94]SpotExchangeRates!#REF!</definedName>
    <definedName name="BLPH99" localSheetId="1" hidden="1">[94]SpotExchangeRates!#REF!</definedName>
    <definedName name="BLPH99" localSheetId="0" hidden="1">[94]SpotExchangeRates!#REF!</definedName>
    <definedName name="BLPH99" hidden="1">[94]SpotExchangeRates!#REF!</definedName>
    <definedName name="BLPH9A3">#REF!</definedName>
    <definedName name="BLSK">[81]K61!$A$11:$IV$11</definedName>
    <definedName name="BLSKA">[81]K61!$A$27:$IV$27</definedName>
    <definedName name="BLSKN">[81]K61!$A$37:$IV$37</definedName>
    <definedName name="BM">'[91]Output WEO'!#REF!</definedName>
    <definedName name="BMG">[102]Q6!$E$28:$AH$28</definedName>
    <definedName name="BMII">#N/A</definedName>
    <definedName name="BMIIB">#N/A</definedName>
    <definedName name="BMIIG">#N/A</definedName>
    <definedName name="BMS">'[91]Output WEO'!#REF!</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'[87]Output - Submit'!$C$21</definedName>
    <definedName name="Bolivia">#REF!</definedName>
    <definedName name="BondSDtable">#REF!</definedName>
    <definedName name="BonsIssuanceTable">#REF!</definedName>
    <definedName name="BOP">#N/A</definedName>
    <definedName name="BOP_to_Fisc">[103]Out_sys!$L$108:$AH$131</definedName>
    <definedName name="BOP_to_REAL">[103]Out_sys!$J$19:$AH$90</definedName>
    <definedName name="bopmt">#REF!</definedName>
    <definedName name="boptab">#REF!</definedName>
    <definedName name="Borderline">'[87]Output-INSTRUCTIONS'!$J$10</definedName>
    <definedName name="Borderline_Case">'[87]Output - Submit'!$C$12</definedName>
    <definedName name="Borrowing_from_Nepal_Rastra_Bank_2.1">'[51]9.1'!#REF!</definedName>
    <definedName name="BottomRight">'[91]Output WEO'!#REF!</definedName>
    <definedName name="Brazil">#REF!</definedName>
    <definedName name="brf" localSheetId="21" hidden="1">{"Tab1",#N/A,FALSE,"P";"Tab2",#N/A,FALSE,"P"}</definedName>
    <definedName name="brf" localSheetId="1" hidden="1">{"Tab1",#N/A,FALSE,"P";"Tab2",#N/A,FALSE,"P"}</definedName>
    <definedName name="brf" localSheetId="0" hidden="1">{"Tab1",#N/A,FALSE,"P";"Tab2",#N/A,FALSE,"P"}</definedName>
    <definedName name="brf" hidden="1">{"Tab1",#N/A,FALSE,"P";"Tab2",#N/A,FALSE,"P"}</definedName>
    <definedName name="brief">Sheet5</definedName>
    <definedName name="BRO">#REF!</definedName>
    <definedName name="BS">#REF!</definedName>
    <definedName name="bspline">[104]!bspline</definedName>
    <definedName name="bspline2">[0]!bspline2</definedName>
    <definedName name="bspline3">[0]!bspline3</definedName>
    <definedName name="BTR">'[91]Output WEO'!#REF!</definedName>
    <definedName name="BTRG">'[91]Output WEO'!#REF!</definedName>
    <definedName name="Btu_scf">[78]Control!$D$27</definedName>
    <definedName name="BUControlSheet_CurrencySelections">[105]Control!$A$19:$A$20</definedName>
    <definedName name="BUControlSheet_FormulaSelections">[105]Control!$A$16:$A$17</definedName>
    <definedName name="BUControlSheet_RevisionSelections">[105]Control!$A$21:$A$22</definedName>
    <definedName name="BUControlSheet_ScaleSelections">[105]Control!$J$35:$J$36</definedName>
    <definedName name="budfin">#REF!</definedName>
    <definedName name="Budget_expenditure">#REF!</definedName>
    <definedName name="budget_financing">#REF!</definedName>
    <definedName name="Budget_revenue">#REF!</definedName>
    <definedName name="Bulgaria">#REF!</definedName>
    <definedName name="Bundes_Alt">[0]!Bundes_Alt</definedName>
    <definedName name="BundesländerAlt" localSheetId="21" hidden="1">{#N/A,#N/A,FALSE,"MZ GRV";#N/A,#N/A,FALSE,"MZ ArV";#N/A,#N/A,FALSE,"MZ AnV";#N/A,#N/A,FALSE,"MZ KnV"}</definedName>
    <definedName name="BundesländerAlt" localSheetId="1" hidden="1">{#N/A,#N/A,FALSE,"MZ GRV";#N/A,#N/A,FALSE,"MZ ArV";#N/A,#N/A,FALSE,"MZ AnV";#N/A,#N/A,FALSE,"MZ KnV"}</definedName>
    <definedName name="BundesländerAlt" localSheetId="0" hidden="1">{#N/A,#N/A,FALSE,"MZ GRV";#N/A,#N/A,FALSE,"MZ ArV";#N/A,#N/A,FALSE,"MZ AnV";#N/A,#N/A,FALSE,"MZ KnV"}</definedName>
    <definedName name="BundesländerAlt" hidden="1">{#N/A,#N/A,FALSE,"MZ GRV";#N/A,#N/A,FALSE,"MZ ArV";#N/A,#N/A,FALSE,"MZ AnV";#N/A,#N/A,FALSE,"MZ KnV"}</definedName>
    <definedName name="bv" localSheetId="21" hidden="1">{"Main Economic Indicators",#N/A,FALSE,"C"}</definedName>
    <definedName name="bv" localSheetId="1" hidden="1">{"Main Economic Indicators",#N/A,FALSE,"C"}</definedName>
    <definedName name="bv" localSheetId="0" hidden="1">{"Main Economic Indicators",#N/A,FALSE,"C"}</definedName>
    <definedName name="bv" hidden="1">{"Main Economic Indicators",#N/A,FALSE,"C"}</definedName>
    <definedName name="BX">'[91]Output WEO'!#REF!</definedName>
    <definedName name="BXG">[102]Q6!$E$26:$AH$26</definedName>
    <definedName name="BXS">'[91]Output WEO'!#REF!</definedName>
    <definedName name="byCCode">'[106]DMX Metadata Values'!$Y$2:$Y$288</definedName>
    <definedName name="byCName">'[106]DMX Metadata Values'!$X$2:$X$288</definedName>
    <definedName name="CAAGR_tolerance">200</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BCA">'[91]Output WEO'!#REF!</definedName>
    <definedName name="CalcBMG">'[91]Output WEO'!#REF!</definedName>
    <definedName name="CalcBXG">'[91]Output WEO'!#REF!</definedName>
    <definedName name="CalcMCV_4">#REF!</definedName>
    <definedName name="CalcMCV_B">'[91]Output WEO'!#REF!</definedName>
    <definedName name="CalcMCV_T">'[91]Output WEO'!#REF!</definedName>
    <definedName name="CalcNGS">'[91]Output WEO'!#REF!</definedName>
    <definedName name="calcNGS_NGDP">#N/A</definedName>
    <definedName name="CalcNGSG">'[91]Output WEO'!#REF!</definedName>
    <definedName name="CalcNGSP">'[91]Output WEO'!#REF!</definedName>
    <definedName name="CalendarYears">[78]ProjectCashflow!$E$4:$BF$4</definedName>
    <definedName name="Call_Deposit_1.1.3">'[51]9.2'!$A$13:$IV$13</definedName>
    <definedName name="Call_in_Advance_1.2">'[51]9.1'!#REF!</definedName>
    <definedName name="Cambio">[84]PRESSUP!$A$161:$IV$161</definedName>
    <definedName name="cambio2000">[107]Sheet3!#REF!</definedName>
    <definedName name="CAP">[108]GovCurrExp!#REF!</definedName>
    <definedName name="capa">'[109]Prioritários 2001'!$E$11:$G$210</definedName>
    <definedName name="Capital_Redemption_Reserve_1.8">'[51]9.1'!#REF!</definedName>
    <definedName name="Cash_in_Transit_10.7">'[51]9.1'!#REF!</definedName>
    <definedName name="Cashiers_Guarantee_3.7">'[51]9.1'!#REF!</definedName>
    <definedName name="cashplan">#N/A</definedName>
    <definedName name="CategoryList">#REF!</definedName>
    <definedName name="CBK">'[69]CBK-input'!$A$1:$AQ$87</definedName>
    <definedName name="CBWorkbookPriority" hidden="1">-944898989</definedName>
    <definedName name="cc" localSheetId="21" hidden="1">{"Riqfin97",#N/A,FALSE,"Tran";"Riqfinpro",#N/A,FALSE,"Tran"}</definedName>
    <definedName name="cc" localSheetId="1" hidden="1">{"Riqfin97",#N/A,FALSE,"Tran";"Riqfinpro",#N/A,FALSE,"Tran"}</definedName>
    <definedName name="cc" localSheetId="0" hidden="1">{"Riqfin97",#N/A,FALSE,"Tran";"Riqfinpro",#N/A,FALSE,"Tran"}</definedName>
    <definedName name="cc" hidden="1">{"Riqfin97",#N/A,FALSE,"Tran";"Riqfinpro",#N/A,FALSE,"Tran"}</definedName>
    <definedName name="ccc" localSheetId="21" hidden="1">{"Riqfin97",#N/A,FALSE,"Tran";"Riqfinpro",#N/A,FALSE,"Tran"}</definedName>
    <definedName name="ccc" localSheetId="1" hidden="1">{"Riqfin97",#N/A,FALSE,"Tran";"Riqfinpro",#N/A,FALSE,"Tran"}</definedName>
    <definedName name="ccc" localSheetId="0" hidden="1">{"Riqfin97",#N/A,FALSE,"Tran";"Riqfinpro",#N/A,FALSE,"Tran"}</definedName>
    <definedName name="ccc" hidden="1">{"Riqfin97",#N/A,FALSE,"Tran";"Riqfinpro",#N/A,FALSE,"Tran"}</definedName>
    <definedName name="ccccc" localSheetId="21" hidden="1">{"Minpmon",#N/A,FALSE,"Monthinput"}</definedName>
    <definedName name="ccccc" localSheetId="1" hidden="1">{"Minpmon",#N/A,FALSE,"Monthinput"}</definedName>
    <definedName name="ccccc" localSheetId="0" hidden="1">{"Minpmon",#N/A,FALSE,"Monthinput"}</definedName>
    <definedName name="ccccc" hidden="1">{"Minpmon",#N/A,FALSE,"Monthinput"}</definedName>
    <definedName name="cccm" localSheetId="21" hidden="1">{"Riqfin97",#N/A,FALSE,"Tran";"Riqfinpro",#N/A,FALSE,"Tran"}</definedName>
    <definedName name="cccm" localSheetId="1" hidden="1">{"Riqfin97",#N/A,FALSE,"Tran";"Riqfinpro",#N/A,FALSE,"Tran"}</definedName>
    <definedName name="cccm" localSheetId="0" hidden="1">{"Riqfin97",#N/A,FALSE,"Tran";"Riqfinpro",#N/A,FALSE,"Tran"}</definedName>
    <definedName name="cccm" hidden="1">{"Riqfin97",#N/A,FALSE,"Tran";"Riqfinpro",#N/A,FALSE,"Tran"}</definedName>
    <definedName name="CCode">[110]Codes!$A$2</definedName>
    <definedName name="CD">[111]ReadMe!$B$29</definedName>
    <definedName name="cde" localSheetId="21" hidden="1">{"Riqfin97",#N/A,FALSE,"Tran";"Riqfinpro",#N/A,FALSE,"Tran"}</definedName>
    <definedName name="cde" localSheetId="1" hidden="1">{"Riqfin97",#N/A,FALSE,"Tran";"Riqfinpro",#N/A,FALSE,"Tran"}</definedName>
    <definedName name="cde" localSheetId="0" hidden="1">{"Riqfin97",#N/A,FALSE,"Tran";"Riqfinpro",#N/A,FALSE,"Tran"}</definedName>
    <definedName name="cde" hidden="1">{"Riqfin97",#N/A,FALSE,"Tran";"Riqfinpro",#N/A,FALSE,"Tran"}</definedName>
    <definedName name="cdert" localSheetId="21" hidden="1">{"Minpmon",#N/A,FALSE,"Monthinput"}</definedName>
    <definedName name="cdert" localSheetId="1" hidden="1">{"Minpmon",#N/A,FALSE,"Monthinput"}</definedName>
    <definedName name="cdert" localSheetId="0" hidden="1">{"Minpmon",#N/A,FALSE,"Monthinput"}</definedName>
    <definedName name="cdert" hidden="1">{"Minpmon",#N/A,FALSE,"Monthinput"}</definedName>
    <definedName name="CDSClose">OFFSET('[112]CDS EME'!$D$134,0,0,MAX(COUNT('[112]CDS EME'!$D:$D)-1,1),1)</definedName>
    <definedName name="CDSDate">OFFSET('[112]CDS EME'!$C$134,0,0,MAX(COUNT('[112]CDS EME'!$C:$C),1),1)</definedName>
    <definedName name="Central_Government_6.1.1.8">'[51]9.1'!#REF!</definedName>
    <definedName name="Certificate_of_Deposit_1.1.4">'[51]9.2'!$A$14:$IV$14</definedName>
    <definedName name="Certificate_of_Deposits_3.5">'[51]9.1'!#REF!</definedName>
    <definedName name="CFA">[77]CIRRs!$C$81</definedName>
    <definedName name="cgo">#REF!</definedName>
    <definedName name="Champ">#REF!</definedName>
    <definedName name="change">'[113]New CPI'!$B$91</definedName>
    <definedName name="ChannelList">#REF!</definedName>
    <definedName name="char20" hidden="1">'[114]Savings &amp; Invest.'!$M$5</definedName>
    <definedName name="Chart">"Chart"</definedName>
    <definedName name="chart_id">#REF!</definedName>
    <definedName name="Chart10X2">OFFSET([115]IP_MoM!$A$124,1,0,COUNTA([115]IP_MoM!$A$125:$A$2201),1)</definedName>
    <definedName name="Chart10X4">OFFSET([115]IP_MoM!$A$124,1,0,COUNTA([115]IP_MoM!$A$125:$A$2201),1)</definedName>
    <definedName name="Chart11Y2">OFFSET([115]IP_Ind_3MMA!$AH$124,1,0,COUNTA([115]IP_Ind_3MMA!$A$125:$A$2202),1)</definedName>
    <definedName name="chart19" hidden="1">[116]C!$P$428:$T$428</definedName>
    <definedName name="Chart1X1">OFFSET('[117]Q Contributions'!$W$43,1,0,COUNTA('[117]Q Contributions'!$W$44:$W$2075),1)</definedName>
    <definedName name="Chart1X2">OFFSET('[117]Q Contributions'!$W$43,1,0,COUNTA('[117]Q Contributions'!$W$44:$W$2075),1)</definedName>
    <definedName name="Chart1X3">OFFSET('[117]Q Contributions'!$W$43,1,0,COUNTA('[117]Q Contributions'!$W$44:$W$2075),1)</definedName>
    <definedName name="Chart1Y1">OFFSET('[117]Q Contributions'!$J$43,1,0,COUNTA('[117]Q Contributions'!$W$44:$W$2075),1)</definedName>
    <definedName name="Chart1Y2">OFFSET('[117]Q Contributions'!$H$43,1,0,COUNTA('[117]Q Contributions'!$W$44:$W$2075),1)</definedName>
    <definedName name="Chart1Y3">OFFSET('[117]Q Contributions'!$I$43,1,0,COUNTA('[117]Q Contributions'!$W$44:$W$2075),1)</definedName>
    <definedName name="chart27" hidden="1">0</definedName>
    <definedName name="chart28" hidden="1">0</definedName>
    <definedName name="Chart2X1">OFFSET('[117]Q Contributions'!$W$43,1,0,COUNTA('[117]Q Contributions'!$W$44:$W$2075),1)</definedName>
    <definedName name="Chart2X2">OFFSET('[117]Q Contributions'!$W$43,1,0,COUNTA('[117]Q Contributions'!$W$44:$W$2075),1)</definedName>
    <definedName name="Chart2X3">OFFSET('[117]Q Contributions'!$W$43,1,0,COUNTA('[117]Q Contributions'!$W$44:$W$2075),1)</definedName>
    <definedName name="Chart2X4">OFFSET('[117]Q Contributions'!$W$43,1,0,COUNTA('[117]Q Contributions'!$W$44:$W$2075),1)</definedName>
    <definedName name="Chart2Y1">OFFSET('[117]Q Contributions'!$P$43,1,0,COUNTA('[117]Q Contributions'!$W$44:$W$2075),1)</definedName>
    <definedName name="Chart2Y2">OFFSET('[117]Q Contributions'!$H$43,1,0,COUNTA('[117]Q Contributions'!$W$44:$W$2075),1)</definedName>
    <definedName name="Chart2Y3">OFFSET('[117]Q Contributions'!$Q$43,1,0,COUNTA('[117]Q Contributions'!$W$44:$W$2075),1)</definedName>
    <definedName name="Chart2Y4">OFFSET('[117]Q Contributions'!$R$43,1,0,COUNTA('[117]Q Contributions'!$W$44:$W$2075),1)</definedName>
    <definedName name="chart35" hidden="1">'[114]Savings &amp; Invest.'!$M$5:$T$5</definedName>
    <definedName name="Chart3Y1">OFFSET('[118]IN_Chart2 IPI'!$K$124,1,0,COUNTA('[118]IN_Chart2 IPI'!$A$125:$A$2201),1)</definedName>
    <definedName name="chart4">{#N/A,#N/A,FALSE,"CB";#N/A,#N/A,FALSE,"CMB";#N/A,#N/A,FALSE,"NBFI"}</definedName>
    <definedName name="Chart6X1">OFFSET('[117]Real (SA)'!$A$43,1,0,COUNTA('[117]Real (SA)'!$A$44:$A$2073),1)</definedName>
    <definedName name="Chart6X2">OFFSET('[117]Real (SA)'!$A$43,1,0,COUNTA('[117]Real (SA)'!$A$44:$A$2073),1)</definedName>
    <definedName name="Chart6X3">OFFSET('[117]Real (SA)'!$A$43,1,0,COUNTA('[117]Real (SA)'!$A$44:$A$2073),1)</definedName>
    <definedName name="Chart6Y1">OFFSET('[117]Real (SA)'!$F$43,1,0,COUNTA('[117]Real (SA)'!$A$44:$A$2073),1)</definedName>
    <definedName name="Chart6Y2">OFFSET('[117]Real (SA)'!$G$43,1,0,COUNTA('[117]Real (SA)'!$A$44:$A$2073),1)</definedName>
    <definedName name="Chart6Y3">OFFSET('[117]Real (SA)'!$H$43,1,0,COUNTA('[117]Real (SA)'!$A$44:$A$2073),1)</definedName>
    <definedName name="Chart7X1">OFFSET('[115]IP vs. GDP'!$A$39,1,0,COUNTA('[115]IP vs. GDP'!$A$40:$A$2068),1)</definedName>
    <definedName name="Chart7X2">OFFSET('[115]IP vs. GDP'!$A$39,1,0,COUNTA('[115]IP vs. GDP'!$A$40:$A$2068),1)</definedName>
    <definedName name="Chart7X3">OFFSET([115]IP_MoM!$A$124,1,0,COUNTA([115]IP_MoM!$A$125:$A$2201),1)</definedName>
    <definedName name="Chart7X4">OFFSET([115]IP_MoM!$A$124,1,0,COUNTA([115]IP_MoM!$A$125:$A$2201),1)</definedName>
    <definedName name="Chart7Y1">OFFSET('[115]IP vs. GDP'!$E$39,1,0,COUNTA('[115]IP vs. GDP'!$A$40:$A$2068),1)</definedName>
    <definedName name="Chart7Y2">OFFSET('[115]IP vs. GDP'!$H$39,1,0,COUNTA('[115]IP vs. GDP'!$A$40:$A$2068),1)</definedName>
    <definedName name="Chart7Y3">OFFSET([115]IP_MoM!$G$124,1,0,COUNTA([115]IP_MoM!$A$125:$A$2201),1)</definedName>
    <definedName name="Chart7Y4">OFFSET([115]IP_MoM!$I$124,1,0,COUNTA([115]IP_MoM!$A$125:$A$2201),1)</definedName>
    <definedName name="Chart8X1">OFFSET([115]IP_MoM!$A$124,1,0,COUNTA([115]IP_MoM!$A$125:$A$2201),1)</definedName>
    <definedName name="Chart8X2">OFFSET([115]IP_MoM!$A$124,1,0,COUNTA([115]IP_MoM!$A$125:$A$2201),1)</definedName>
    <definedName name="Chart8X3">OFFSET([115]IP_MoM!$A$124,1,0,COUNTA([115]IP_MoM!$A$125:$A$2201),1)</definedName>
    <definedName name="Chart8X4">OFFSET([115]IP_MoM!$A$124,1,0,COUNTA([115]IP_MoM!$A$125:$A$2201),1)</definedName>
    <definedName name="Chart8Y1">OFFSET([115]IP_MoM!$K$124,1,0,COUNTA([115]IP_MoM!$A$125:$A$2201),1)</definedName>
    <definedName name="Chart8Y2">OFFSET([115]IP_MoM!$C$124,1,0,COUNTA([115]IP_MoM!$A$125:$A$2201),1)</definedName>
    <definedName name="Chart8Y3">OFFSET([115]IP_MoM!$I$124,1,0,COUNTA([115]IP_MoM!$A$125:$A$2201),1)</definedName>
    <definedName name="Chart8Y4">OFFSET([115]IP_MoM!$M$124,1,0,COUNTA([115]IP_MoM!$A$125:$A$2201),1)</definedName>
    <definedName name="chart9" hidden="1">[119]CPIINDEX!$B$263:$B$310</definedName>
    <definedName name="Chart9X1">OFFSET([115]IP_MoM!$A$124,1,0,COUNTA([115]IP_MoM!$A$125:$A$2201),1)</definedName>
    <definedName name="Chart9X2">OFFSET([115]IP_MoM!$A$124,1,0,COUNTA([115]IP_MoM!$A$125:$A$2201),1)</definedName>
    <definedName name="Chart9X3">OFFSET([115]IP_MoM!$A$124,1,0,COUNTA([115]IP_MoM!$A$125:$A$2201),1)</definedName>
    <definedName name="Chart9X4">OFFSET([115]IP_MoM!$A$124,1,0,COUNTA([115]IP_MoM!$A$125:$A$2201),1)</definedName>
    <definedName name="Chart9Y1">OFFSET([115]IP_MoM!$O$124,1,0,COUNTA([115]IP_MoM!$A$125:$A$2201),1)</definedName>
    <definedName name="Chart9Y2">OFFSET([115]IP_MoM!$W$124,1,0,COUNTA([115]IP_MoM!$A$125:$A$2201),1)</definedName>
    <definedName name="Chart9Y3">OFFSET([115]IP_MoM!$U$124,1,0,COUNTA([115]IP_MoM!$A$125:$A$2201),1)</definedName>
    <definedName name="Chart9Y4">OFFSET([115]IP_MoM!$Y$124,1,0,COUNTA([115]IP_MoM!$A$125:$A$2201),1)</definedName>
    <definedName name="ChartA">{#N/A,#N/A,FALSE,"CB";#N/A,#N/A,FALSE,"CMB";#N/A,#N/A,FALSE,"NBFI"}</definedName>
    <definedName name="Charts.Group1" localSheetId="2">#REF!</definedName>
    <definedName name="Charts.Group1">#REF!</definedName>
    <definedName name="Charts.Group2" localSheetId="2">#REF!</definedName>
    <definedName name="Charts.Group2">#REF!</definedName>
    <definedName name="Chartsik" hidden="1">[120]REER!$I$53:$AM$53</definedName>
    <definedName name="Chartvel">{#N/A,#N/A,FALSE,"CB";#N/A,#N/A,FALSE,"CMB";#N/A,#N/A,FALSE,"BSYS";#N/A,#N/A,FALSE,"NBFI";#N/A,#N/A,FALSE,"FSYS"}</definedName>
    <definedName name="CHILE">#REF!</definedName>
    <definedName name="China">[94]SpotExchangeRates!#REF!</definedName>
    <definedName name="CHK">#REF!</definedName>
    <definedName name="CHK1.1">#REF!</definedName>
    <definedName name="CHK2.1">#REF!</definedName>
    <definedName name="CHK2.2">#REF!</definedName>
    <definedName name="CHK2.3">#REF!</definedName>
    <definedName name="CHK3.1">#REF!</definedName>
    <definedName name="CHK4.1">#REF!</definedName>
    <definedName name="CHK4.2">#REF!</definedName>
    <definedName name="CHK4.3">#REF!</definedName>
    <definedName name="CHK4.4">#REF!</definedName>
    <definedName name="CHK4.5">#REF!</definedName>
    <definedName name="ChkSI">'[89]MT-SCENA'!$A$1:$K$123</definedName>
    <definedName name="CIQWBGuid" hidden="1">"WDI_Healthcare_Confirmations.xlsx"</definedName>
    <definedName name="Clearing_Cheques_10.6">'[51]9.1'!#REF!</definedName>
    <definedName name="CName">'[106]DMX Metadata Values'!$V$2:$V$288</definedName>
    <definedName name="cntryname">'[121]country name lookup'!$A$1:$B$50</definedName>
    <definedName name="Code" localSheetId="1" hidden="1">#REF!</definedName>
    <definedName name="Code" localSheetId="0" hidden="1">#REF!</definedName>
    <definedName name="code">#REF!</definedName>
    <definedName name="CodePays">#REF!</definedName>
    <definedName name="cofog" localSheetId="21">#REF!</definedName>
    <definedName name="cofog">#REF!</definedName>
    <definedName name="Col">#REF!</definedName>
    <definedName name="Collateral_of_Properties_7">'[51]9.4'!$A$11:$IV$11</definedName>
    <definedName name="Collective_Guarantee_37">'[51]9.4'!$A$41:$IV$41</definedName>
    <definedName name="Com">#REF!</definedName>
    <definedName name="Commission_2.2">'[51]9.2'!$A$67:$IV$67</definedName>
    <definedName name="Commission_Expense_2.">'[51]9.2'!$A$19:$IV$19</definedName>
    <definedName name="Commodity1">[78]Control!$D$16</definedName>
    <definedName name="CommodityPriceInflation">[79]Prices!$E$5:$AR$5</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osition">#N/A</definedName>
    <definedName name="CONCEPT">[122]Sheet1!$A$2:$B$4017</definedName>
    <definedName name="conceptindex.DMX" localSheetId="2">OFFSET(#REF!,,,COUNTA(#REF!),)</definedName>
    <definedName name="conceptindex.DMX">OFFSET(#REF!,,,COUNTA(#REF!),)</definedName>
    <definedName name="conceptIndex.EcData">OFFSET(#REF!,,,COUNTA(#REF!),)</definedName>
    <definedName name="conceptIndex.Ecos">OFFSET(#REF!,,,COUNTA(#REF!),)</definedName>
    <definedName name="CONCK">#REF!</definedName>
    <definedName name="cond">[123]PrivReceipts!$B$3:$B$10199</definedName>
    <definedName name="cond2">[123]PrivReceipts!$G$3:$G$10199</definedName>
    <definedName name="Conflict">{"Main Economic Indicators",#N/A,FALSE,"C"}</definedName>
    <definedName name="conper111">[106]ContactPersonList!$D$175:$AD$175</definedName>
    <definedName name="conper112">[106]ContactPersonList!$D$83:$S$83</definedName>
    <definedName name="conper122">[106]ContactPersonList!$D$68:$M$68</definedName>
    <definedName name="conper124">[106]ContactPersonList!$D$69:$N$69</definedName>
    <definedName name="conper128">[106]ContactPersonList!$D$77:$I$77</definedName>
    <definedName name="conper132">[106]ContactPersonList!$D$82:$N$82</definedName>
    <definedName name="conper134">[106]ContactPersonList!$D$76:$S$76</definedName>
    <definedName name="conper135">[106]ContactPersonList!$D$103:$H$103</definedName>
    <definedName name="conper136">[106]ContactPersonList!$D$90:$M$90</definedName>
    <definedName name="conper137">[106]ContactPersonList!$D$92:$N$92</definedName>
    <definedName name="conper138">[106]ContactPersonList!$D$98:$K$98</definedName>
    <definedName name="conper142">[106]ContactPersonList!$D$99:$I$99</definedName>
    <definedName name="conper144">[106]ContactPersonList!$D$107:$I$107</definedName>
    <definedName name="conper146">[106]ContactPersonList!$D$73:$K$73</definedName>
    <definedName name="conper156">[106]ContactPersonList!$D$152:$T$152</definedName>
    <definedName name="conper158">[106]ContactPersonList!$D$49:$O$49</definedName>
    <definedName name="conper163">[106]ContactPersonList!$D$43:$G$43</definedName>
    <definedName name="conper172">[106]ContactPersonList!$D$81:$M$81</definedName>
    <definedName name="conper174">[106]ContactPersonList!$D$84:$K$84</definedName>
    <definedName name="conper176">[106]ContactPersonList!$D$88:$Q$88</definedName>
    <definedName name="conper178">[106]ContactPersonList!$D$87:$M$87</definedName>
    <definedName name="conper181">[106]ContactPersonList!$D$96:$I$96</definedName>
    <definedName name="conper182">[106]ContactPersonList!$D$101:$J$101</definedName>
    <definedName name="conper184">[106]ContactPersonList!$D$78:$L$78</definedName>
    <definedName name="conper186">[106]ContactPersonList!$D$108:$S$108</definedName>
    <definedName name="conper199">[106]ContactPersonList!$D$44:$P$44</definedName>
    <definedName name="conper213">[106]ContactPersonList!$D$145:$L$145</definedName>
    <definedName name="conper218">[106]ContactPersonList!$D$149:$N$149</definedName>
    <definedName name="conper223">[106]ContactPersonList!$D$150:$N$150</definedName>
    <definedName name="conper228">[106]ContactPersonList!$D$153:$L$153</definedName>
    <definedName name="conper233">[106]ContactPersonList!$D$154:$N$154</definedName>
    <definedName name="conper238">[106]ContactPersonList!$D$155:$N$155</definedName>
    <definedName name="conper248">[106]ContactPersonList!$D$157:$K$157</definedName>
    <definedName name="conper253">[106]ContactPersonList!$D$171:$M$171</definedName>
    <definedName name="conper258">[106]ContactPersonList!$D$159:$M$159</definedName>
    <definedName name="conper263">[106]ContactPersonList!$D$162:$N$162</definedName>
    <definedName name="conper268">[106]ContactPersonList!$D$161:$O$161</definedName>
    <definedName name="conper273">[106]ContactPersonList!$D$166:$T$166</definedName>
    <definedName name="conper278">[106]ContactPersonList!$D$167:$M$167</definedName>
    <definedName name="conper283">[106]ContactPersonList!$D$168:$P$168</definedName>
    <definedName name="conper288">[106]ContactPersonList!$D$170:$Q$170</definedName>
    <definedName name="conper293">[106]ContactPersonList!$D$169:$L$169</definedName>
    <definedName name="conper298">[106]ContactPersonList!$D$174:$O$174</definedName>
    <definedName name="conper299">[106]ContactPersonList!$D$177:$M$177</definedName>
    <definedName name="conper311">[106]ContactPersonList!$D$146:$K$146</definedName>
    <definedName name="conper313">[106]ContactPersonList!$D$147:$K$147</definedName>
    <definedName name="conper314">[106]ContactPersonList!$D$65:$J$65</definedName>
    <definedName name="conper316">[106]ContactPersonList!$D$151:$K$151</definedName>
    <definedName name="conper321">[106]ContactPersonList!$D$156:$K$156</definedName>
    <definedName name="conper328">[106]ContactPersonList!$D$158:$K$158</definedName>
    <definedName name="conper336">[106]ContactPersonList!$D$160:$N$160</definedName>
    <definedName name="conper339">[106]ContactPersonList!$D$148:$L$148</definedName>
    <definedName name="conper343">[106]ContactPersonList!$D$163:$L$163</definedName>
    <definedName name="conper353">[106]ContactPersonList!$D$67:$K$67</definedName>
    <definedName name="conper361">[106]ContactPersonList!$D$164:$K$164</definedName>
    <definedName name="conper362">[106]ContactPersonList!$D$165:$L$165</definedName>
    <definedName name="conper363">[106]ContactPersonList!$D$135:$M$135</definedName>
    <definedName name="conper364">[106]ContactPersonList!$D$176:$M$176</definedName>
    <definedName name="conper366">[106]ContactPersonList!$D$172:$J$172</definedName>
    <definedName name="conper369">[106]ContactPersonList!$D$173:$K$173</definedName>
    <definedName name="conper419">[106]ContactPersonList!$D$114:$T$114</definedName>
    <definedName name="conper423">[106]ContactPersonList!$D$74:$I$74</definedName>
    <definedName name="conper429">[106]ContactPersonList!$D$119:$M$119</definedName>
    <definedName name="conper433">[106]ContactPersonList!$D$120:$O$120</definedName>
    <definedName name="conper436">[106]ContactPersonList!$D$89:$K$89</definedName>
    <definedName name="conper439">[106]ContactPersonList!$D$121:$M$121</definedName>
    <definedName name="conper443">[106]ContactPersonList!$D$124:$S$124</definedName>
    <definedName name="conper446">[106]ContactPersonList!$D$125:$Q$125</definedName>
    <definedName name="conper449">[106]ContactPersonList!$D$129:$T$129</definedName>
    <definedName name="conper453">[106]ContactPersonList!$D$131:$S$131</definedName>
    <definedName name="conper456">[106]ContactPersonList!$D$132:$U$132</definedName>
    <definedName name="conper463">[106]ContactPersonList!$D$136:$N$136</definedName>
    <definedName name="conper466">[106]ContactPersonList!$D$144:$S$144</definedName>
    <definedName name="conper469">[106]ContactPersonList!$D$117:$P$117</definedName>
    <definedName name="conper474">[106]ContactPersonList!$D$141:$M$141</definedName>
    <definedName name="conper512">[106]ContactPersonList!$D$111:$O$111</definedName>
    <definedName name="conper513">[106]ContactPersonList!$D$47:$M$47</definedName>
    <definedName name="conper518">[106]ContactPersonList!$D$55:$K$55</definedName>
    <definedName name="conper522">[106]ContactPersonList!$D$50:$M$50</definedName>
    <definedName name="conper524">[106]ContactPersonList!$D$53:$L$53</definedName>
    <definedName name="conper534">[106]ContactPersonList!$D$142:$F$142</definedName>
    <definedName name="conper536">[106]ContactPersonList!$D$48:$P$48</definedName>
    <definedName name="conper537">[106]ContactPersonList!$D$63:$K$63</definedName>
    <definedName name="conper542">[106]ContactPersonList!$D$51:$J$51</definedName>
    <definedName name="conper544">[106]ContactPersonList!$D$52:$J$52</definedName>
    <definedName name="conper556">[106]ContactPersonList!$D$54:$H$54</definedName>
    <definedName name="conper558">[106]ContactPersonList!$D$57:$L$57</definedName>
    <definedName name="conper564">[106]ContactPersonList!$D$130:$T$130</definedName>
    <definedName name="conper565">[106]ContactPersonList!$D$59:$J$59</definedName>
    <definedName name="conper566">[106]ContactPersonList!$D$58:$M$58</definedName>
    <definedName name="conper578">[106]ContactPersonList!$D$62:$N$62</definedName>
    <definedName name="conper579">[106]ContactPersonList!$D$143:$E$143</definedName>
    <definedName name="conper582">[106]ContactPersonList!$D$64:$M$64</definedName>
    <definedName name="conper611">[106]ContactPersonList!$D$115:$M$115</definedName>
    <definedName name="conper612">[106]ContactPersonList!$D$116:$K$116</definedName>
    <definedName name="conper614">[106]ContactPersonList!$D$2:$L$2</definedName>
    <definedName name="conper616">[106]ContactPersonList!$D$6:$K$6</definedName>
    <definedName name="conper618">[106]ContactPersonList!$D$3:$K$3</definedName>
    <definedName name="conper622">[106]ContactPersonList!$D$9:$M$9</definedName>
    <definedName name="conper624">[106]ContactPersonList!$D$13:$M$13</definedName>
    <definedName name="conper626">[106]ContactPersonList!$D$7:$L$7</definedName>
    <definedName name="conper628">[106]ContactPersonList!$D$39:$P$39</definedName>
    <definedName name="conper632">[106]ContactPersonList!$D$12:$L$12</definedName>
    <definedName name="conper634">[106]ContactPersonList!$D$11:$L$11</definedName>
    <definedName name="conper636">[106]ContactPersonList!$D$10:$J$10</definedName>
    <definedName name="conper638">[106]ContactPersonList!$D$4:$P$4</definedName>
    <definedName name="conper642">[106]ContactPersonList!$D$21:$K$21</definedName>
    <definedName name="conper643">[106]ContactPersonList!$D$14:$H$14</definedName>
    <definedName name="conper644">[106]ContactPersonList!$D$15:$L$15</definedName>
    <definedName name="conper646">[106]ContactPersonList!$D$16:$N$16</definedName>
    <definedName name="conper648">[106]ContactPersonList!$D$19:$M$19</definedName>
    <definedName name="conper652">[106]ContactPersonList!$D$17:$L$17</definedName>
    <definedName name="conper654">[106]ContactPersonList!$D$20:$M$20</definedName>
    <definedName name="conper656">[106]ContactPersonList!$D$18:$N$18</definedName>
    <definedName name="conper662">[106]ContactPersonList!$D$8:$P$8</definedName>
    <definedName name="conper664">[106]ContactPersonList!$D$22:$M$22</definedName>
    <definedName name="conper666">[106]ContactPersonList!$D$24:$K$24</definedName>
    <definedName name="conper668">[106]ContactPersonList!$D$23:$Q$23</definedName>
    <definedName name="conper672">[106]ContactPersonList!$D$126:$N$126</definedName>
    <definedName name="conper674">[106]ContactPersonList!$D$25:$M$25</definedName>
    <definedName name="conper676">[106]ContactPersonList!$D$29:$O$29</definedName>
    <definedName name="conper678">[106]ContactPersonList!$D$26:$L$26</definedName>
    <definedName name="conper682">[106]ContactPersonList!$D$128:$M$128</definedName>
    <definedName name="conper684">[106]ContactPersonList!$D$28:$L$28</definedName>
    <definedName name="conper686">[106]ContactPersonList!$D$127:$M$127</definedName>
    <definedName name="conper688">[106]ContactPersonList!$D$27:$P$27</definedName>
    <definedName name="conper692">[106]ContactPersonList!$D$31:$M$31</definedName>
    <definedName name="conper694">[106]ContactPersonList!$D$32:$O$32</definedName>
    <definedName name="conper696">[106]ContactPersonList!$D$80:$O$80</definedName>
    <definedName name="conper698">[106]ContactPersonList!$D$46:$M$46</definedName>
    <definedName name="conper714">[106]ContactPersonList!$D$33:$L$33</definedName>
    <definedName name="conper716">[106]ContactPersonList!$D$36:$K$36</definedName>
    <definedName name="conper718">[106]ContactPersonList!$D$38:$M$38</definedName>
    <definedName name="conper722">[106]ContactPersonList!$D$34:$M$34</definedName>
    <definedName name="conper724">[106]ContactPersonList!$D$35:$N$35</definedName>
    <definedName name="conper726">[106]ContactPersonList!$D$134:$J$134</definedName>
    <definedName name="conper728">[106]ContactPersonList!$D$30:$L$30</definedName>
    <definedName name="conper732">[106]ContactPersonList!$D$133:$O$133</definedName>
    <definedName name="conper734">[106]ContactPersonList!$D$37:$M$37</definedName>
    <definedName name="conper738">[106]ContactPersonList!$D$41:$O$41</definedName>
    <definedName name="conper742">[106]ContactPersonList!$D$40:$O$40</definedName>
    <definedName name="conper744">[106]ContactPersonList!$D$139:$K$139</definedName>
    <definedName name="conper746">[106]ContactPersonList!$D$42:$N$42</definedName>
    <definedName name="conper748">[106]ContactPersonList!$D$5:$L$5</definedName>
    <definedName name="conper754">[106]ContactPersonList!$D$45:$O$45</definedName>
    <definedName name="conper853">[106]ContactPersonList!$D$60:$K$60</definedName>
    <definedName name="conper911">[106]ContactPersonList!$D$112:$Q$112</definedName>
    <definedName name="conper912">[106]ContactPersonList!$D$113:$N$113</definedName>
    <definedName name="conper913">[106]ContactPersonList!$D$72:$O$72</definedName>
    <definedName name="conper914">[106]ContactPersonList!$D$66:$Q$66</definedName>
    <definedName name="conper915">[106]ContactPersonList!$D$118:$T$118</definedName>
    <definedName name="conper916">[106]ContactPersonList!$D$122:$N$122</definedName>
    <definedName name="conper917">[106]ContactPersonList!$D$123:$M$123</definedName>
    <definedName name="conper918">[106]ContactPersonList!$D$70:$S$70</definedName>
    <definedName name="conper921">[106]ContactPersonList!$D$94:$N$94</definedName>
    <definedName name="conper922">[106]ContactPersonList!$D$102:$O$102</definedName>
    <definedName name="conper923">[106]ContactPersonList!$D$137:$O$137</definedName>
    <definedName name="conper925">[106]ContactPersonList!$D$138:$O$138</definedName>
    <definedName name="conper926">[106]ContactPersonList!$D$109:$O$109</definedName>
    <definedName name="conper927">[106]ContactPersonList!$D$140:$J$140</definedName>
    <definedName name="conper935">[106]ContactPersonList!$D$75:$O$75</definedName>
    <definedName name="conper936">[106]ContactPersonList!$D$105:$L$105</definedName>
    <definedName name="conper939">[106]ContactPersonList!$D$79:$L$79</definedName>
    <definedName name="conper941">[106]ContactPersonList!$D$93:$M$93</definedName>
    <definedName name="conper942">[106]ContactPersonList!$D$104:$N$104</definedName>
    <definedName name="conper943">[106]ContactPersonList!$D$97:$N$97</definedName>
    <definedName name="conper944">[106]ContactPersonList!$D$86:$O$86</definedName>
    <definedName name="conper946">[106]ContactPersonList!$D$91:$M$91</definedName>
    <definedName name="conper948">[106]ContactPersonList!$D$56:$N$56</definedName>
    <definedName name="conper960">[106]ContactPersonList!$D$85:$N$85</definedName>
    <definedName name="conper961">[106]ContactPersonList!$D$106:$K$106</definedName>
    <definedName name="conper962">[106]ContactPersonList!$D$95:$L$95</definedName>
    <definedName name="conper963">[106]ContactPersonList!$D$71:$M$71</definedName>
    <definedName name="conper964">[106]ContactPersonList!$D$100:$T$100</definedName>
    <definedName name="conper965">[106]ContactPersonList!$D$110:$N$110</definedName>
    <definedName name="Cons">#REF!</definedName>
    <definedName name="consol">#REF!</definedName>
    <definedName name="Consolidated_summary">#REF!</definedName>
    <definedName name="Consolidation_Method">'[106]DMX Metadata Values'!$A$2:$A$14</definedName>
    <definedName name="Construction_53">'[51]9.3'!$A$57:$IV$57</definedName>
    <definedName name="Consumption_Loans_115">'[51]9.3'!$A$119:$IV$119</definedName>
    <definedName name="cont">#REF!</definedName>
    <definedName name="CONTENTS">#REF!</definedName>
    <definedName name="contents2" localSheetId="21" hidden="1">[124]MSRV!#REF!</definedName>
    <definedName name="contents2" localSheetId="1" hidden="1">[124]MSRV!#REF!</definedName>
    <definedName name="contents2" localSheetId="0" hidden="1">[124]MSRV!#REF!</definedName>
    <definedName name="contents2" hidden="1">[124]MSRV!#REF!</definedName>
    <definedName name="Contra_Accounts_14.">'[51]9.1'!#REF!</definedName>
    <definedName name="Contra_Accounts_7.">'[51]9.1'!#REF!</definedName>
    <definedName name="ControlAssumptions">[78]Control!$H$4:$H$19</definedName>
    <definedName name="Conversion_Factor_mill.BTU_per_mill_tons">52</definedName>
    <definedName name="Coordinator_List">[80]Control!$J$20:$J$21</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{"Main Economic Indicators",#N/A,FALSE,"C"}</definedName>
    <definedName name="corptax">#REF!</definedName>
    <definedName name="corre">[125]Codigos!$K$3:$O$170</definedName>
    <definedName name="corrente">[82]DespCoefs!$C$7:$Q$7</definedName>
    <definedName name="Corresp">#REF!</definedName>
    <definedName name="CorrOgaPro">[126]Orgao!$HY$6:$IA$96</definedName>
    <definedName name="corrOrg">[126]Orgao!$ID$5:$IH$107</definedName>
    <definedName name="CorW">'[127]W&amp;T'!$C$19</definedName>
    <definedName name="Country">'[87]Data-Input'!$C$4</definedName>
    <definedName name="Country_Code">#REF!</definedName>
    <definedName name="COUNTRY_DROP_DOWN">OFFSET(#REF!,0,0,COUNTIF(#REF!,"?*")-1,1)</definedName>
    <definedName name="Country_list">[87]lookup!$C$4:$C$82</definedName>
    <definedName name="Country_list1">[128]lookup!$C$4:$C$82</definedName>
    <definedName name="Country_Mean">[129]!Country_Mean</definedName>
    <definedName name="COUNTRY_NON_EMPTY">IFERROR(INDEX(#REF!,MATCH(ROW()-ROW(#REF!),#REF!,0)),"")</definedName>
    <definedName name="CountryCode">[130]Contents!$B$8</definedName>
    <definedName name="Countrycodes" localSheetId="21">'[131]educ score'!$F$1:$G$206</definedName>
    <definedName name="Countrycodes">'[132]educ score'!$F$1:$G$206</definedName>
    <definedName name="countrycount" localSheetId="2">OFFSET(#REF!,,,COUNTA(#REF!)-1,)</definedName>
    <definedName name="CountryCount">[78]METR!$D$17</definedName>
    <definedName name="CountryName">[90]REER!$A$6</definedName>
    <definedName name="cp" localSheetId="21" hidden="1">'[133]C Summary'!#REF!</definedName>
    <definedName name="cp" hidden="1">'[133]C Summary'!#REF!</definedName>
    <definedName name="CPAData" localSheetId="2">OFFSET(#REF!,,,COUNTA(#REF!),COUNTA(#REF!)-1)</definedName>
    <definedName name="CPAData">OFFSET(#REF!,,,COUNTA(#REF!),COUNTA(#REF!)-1)</definedName>
    <definedName name="CPIA">'[87]Data-Input'!$E$5</definedName>
    <definedName name="CPIAValue">'[87]Output - Submit'!$C$10</definedName>
    <definedName name="CreateRegions">#REF!</definedName>
    <definedName name="Credit_Card_40">'[51]9.4'!$A$44:$IV$44</definedName>
    <definedName name="CRES">#N/A</definedName>
    <definedName name="Croatia">#REF!</definedName>
    <definedName name="csDesignMode">1</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SVfilepath">#REF!</definedName>
    <definedName name="CurDB">[134]CONTENTS!$D$3</definedName>
    <definedName name="Currencies">#REF!</definedName>
    <definedName name="Currency_Def">[80]Control!$BA$330:$BA$487</definedName>
    <definedName name="Currency_List">'[87]GE Calculation'!$B$41:$B$52</definedName>
    <definedName name="Current_account">#REF!</definedName>
    <definedName name="Current_Assets_14">'[51]9.4'!$A$18:$IV$18</definedName>
    <definedName name="CurrentVintage">'[135]A Current Data'!$D$60</definedName>
    <definedName name="CURRENTYEAR">#REF!</definedName>
    <definedName name="CurrVintage">[136]Current!$D$66</definedName>
    <definedName name="Cwvu.a." localSheetId="21" hidden="1">[134]BOP!$A$36:$IV$36,[134]BOP!$A$44:$IV$44,[134]BOP!$A$59:$IV$59,[134]BOP!#REF!,[134]BOP!#REF!,[134]BOP!$A$81:$IV$88</definedName>
    <definedName name="Cwvu.a." localSheetId="1" hidden="1">[134]BOP!$A$36:$IV$36,[134]BOP!$A$44:$IV$44,[134]BOP!$A$59:$IV$59,[134]BOP!#REF!,[134]BOP!#REF!,[134]BOP!$A$81:$IV$88</definedName>
    <definedName name="Cwvu.a." localSheetId="0" hidden="1">[134]BOP!$A$36:$IV$36,[134]BOP!$A$44:$IV$44,[134]BOP!$A$59:$IV$59,[134]BOP!#REF!,[134]BOP!#REF!,[134]BOP!$A$81:$IV$88</definedName>
    <definedName name="Cwvu.a." hidden="1">[134]BOP!$A$36:$IV$36,[134]BOP!$A$44:$IV$44,[134]BOP!$A$59:$IV$59,[134]BOP!#REF!,[134]BOP!#REF!,[134]BOP!$A$81:$IV$88</definedName>
    <definedName name="Cwvu.bop." localSheetId="21" hidden="1">[134]BOP!$A$36:$IV$36,[134]BOP!$A$44:$IV$44,[134]BOP!$A$59:$IV$59,[134]BOP!#REF!,[134]BOP!#REF!,[134]BOP!$A$81:$IV$88</definedName>
    <definedName name="Cwvu.bop." localSheetId="1" hidden="1">[134]BOP!$A$36:$IV$36,[134]BOP!$A$44:$IV$44,[134]BOP!$A$59:$IV$59,[134]BOP!#REF!,[134]BOP!#REF!,[134]BOP!$A$81:$IV$88</definedName>
    <definedName name="Cwvu.bop." localSheetId="0" hidden="1">[134]BOP!$A$36:$IV$36,[134]BOP!$A$44:$IV$44,[134]BOP!$A$59:$IV$59,[134]BOP!#REF!,[134]BOP!#REF!,[134]BOP!$A$81:$IV$88</definedName>
    <definedName name="Cwvu.bop." hidden="1">[134]BOP!$A$36:$IV$36,[134]BOP!$A$44:$IV$44,[134]BOP!$A$59:$IV$59,[134]BOP!#REF!,[134]BOP!#REF!,[134]BOP!$A$81:$IV$88</definedName>
    <definedName name="Cwvu.bop.sr." localSheetId="21" hidden="1">[134]BOP!$A$36:$IV$36,[134]BOP!$A$44:$IV$44,[134]BOP!$A$59:$IV$59,[134]BOP!#REF!,[134]BOP!#REF!,[134]BOP!$A$81:$IV$88</definedName>
    <definedName name="Cwvu.bop.sr." localSheetId="1" hidden="1">[134]BOP!$A$36:$IV$36,[134]BOP!$A$44:$IV$44,[134]BOP!$A$59:$IV$59,[134]BOP!#REF!,[134]BOP!#REF!,[134]BOP!$A$81:$IV$88</definedName>
    <definedName name="Cwvu.bop.sr." localSheetId="0" hidden="1">[134]BOP!$A$36:$IV$36,[134]BOP!$A$44:$IV$44,[134]BOP!$A$59:$IV$59,[134]BOP!#REF!,[134]BOP!#REF!,[134]BOP!$A$81:$IV$88</definedName>
    <definedName name="Cwvu.bop.sr." hidden="1">[134]BOP!$A$36:$IV$36,[134]BOP!$A$44:$IV$44,[134]BOP!$A$59:$IV$59,[134]BOP!#REF!,[134]BOP!#REF!,[134]BOP!$A$81:$IV$88</definedName>
    <definedName name="Cwvu.bopsdr.sr." localSheetId="21" hidden="1">[134]BOP!$A$36:$IV$36,[134]BOP!$A$44:$IV$44,[134]BOP!$A$59:$IV$59,[134]BOP!#REF!,[134]BOP!#REF!,[134]BOP!$A$81:$IV$88</definedName>
    <definedName name="Cwvu.bopsdr.sr." localSheetId="1" hidden="1">[134]BOP!$A$36:$IV$36,[134]BOP!$A$44:$IV$44,[134]BOP!$A$59:$IV$59,[134]BOP!#REF!,[134]BOP!#REF!,[134]BOP!$A$81:$IV$88</definedName>
    <definedName name="Cwvu.bopsdr.sr." localSheetId="0" hidden="1">[134]BOP!$A$36:$IV$36,[134]BOP!$A$44:$IV$44,[134]BOP!$A$59:$IV$59,[134]BOP!#REF!,[134]BOP!#REF!,[134]BOP!$A$81:$IV$88</definedName>
    <definedName name="Cwvu.bopsdr.sr." hidden="1">[134]BOP!$A$36:$IV$36,[134]BOP!$A$44:$IV$44,[134]BOP!$A$59:$IV$59,[134]BOP!#REF!,[134]BOP!#REF!,[134]BOP!$A$81:$IV$88</definedName>
    <definedName name="Cwvu.cotton." localSheetId="21" hidden="1">[134]BOP!$A$36:$IV$36,[134]BOP!$A$44:$IV$44,[134]BOP!$A$59:$IV$59,[134]BOP!#REF!,[134]BOP!#REF!,[134]BOP!$A$79:$IV$79,[134]BOP!$A$81:$IV$88,[134]BOP!#REF!</definedName>
    <definedName name="Cwvu.cotton." localSheetId="1" hidden="1">[134]BOP!$A$36:$IV$36,[134]BOP!$A$44:$IV$44,[134]BOP!$A$59:$IV$59,[134]BOP!#REF!,[134]BOP!#REF!,[134]BOP!$A$79:$IV$79,[134]BOP!$A$81:$IV$88,[134]BOP!#REF!</definedName>
    <definedName name="Cwvu.cotton." localSheetId="0" hidden="1">[134]BOP!$A$36:$IV$36,[134]BOP!$A$44:$IV$44,[134]BOP!$A$59:$IV$59,[134]BOP!#REF!,[134]BOP!#REF!,[134]BOP!$A$79:$IV$79,[134]BOP!$A$81:$IV$88,[134]BOP!#REF!</definedName>
    <definedName name="Cwvu.cotton." hidden="1">[134]BOP!$A$36:$IV$36,[134]BOP!$A$44:$IV$44,[134]BOP!$A$59:$IV$59,[134]BOP!#REF!,[134]BOP!#REF!,[134]BOP!$A$79:$IV$79,[134]BOP!$A$81:$IV$88,[134]BOP!#REF!</definedName>
    <definedName name="Cwvu.cottonall." localSheetId="21" hidden="1">[134]BOP!$A$36:$IV$36,[134]BOP!$A$44:$IV$44,[134]BOP!$A$59:$IV$59,[134]BOP!#REF!,[134]BOP!#REF!,[134]BOP!$A$79:$IV$79,[134]BOP!$A$81:$IV$88</definedName>
    <definedName name="Cwvu.cottonall." localSheetId="1" hidden="1">[134]BOP!$A$36:$IV$36,[134]BOP!$A$44:$IV$44,[134]BOP!$A$59:$IV$59,[134]BOP!#REF!,[134]BOP!#REF!,[134]BOP!$A$79:$IV$79,[134]BOP!$A$81:$IV$88</definedName>
    <definedName name="Cwvu.cottonall." localSheetId="0" hidden="1">[134]BOP!$A$36:$IV$36,[134]BOP!$A$44:$IV$44,[134]BOP!$A$59:$IV$59,[134]BOP!#REF!,[134]BOP!#REF!,[134]BOP!$A$79:$IV$79,[134]BOP!$A$81:$IV$88</definedName>
    <definedName name="Cwvu.cottonall." hidden="1">[134]BOP!$A$36:$IV$36,[134]BOP!$A$44:$IV$44,[134]BOP!$A$59:$IV$59,[134]BOP!#REF!,[134]BOP!#REF!,[134]BOP!$A$79:$IV$79,[134]BOP!$A$81:$IV$88</definedName>
    <definedName name="Cwvu.exportdetails." hidden="1">[134]BOP!$A$36:$IV$36,[134]BOP!$A$44:$IV$44,[134]BOP!$A$59:$IV$59,[134]BOP!#REF!,[134]BOP!#REF!,[134]BOP!$A$79:$IV$79,[134]BOP!#REF!</definedName>
    <definedName name="Cwvu.exports." localSheetId="21" hidden="1">[134]BOP!$A$36:$IV$36,[134]BOP!$A$44:$IV$44,[134]BOP!$A$59:$IV$59,[134]BOP!#REF!,[134]BOP!#REF!,[134]BOP!$A$79:$IV$79,[134]BOP!$A$81:$IV$88,[134]BOP!#REF!</definedName>
    <definedName name="Cwvu.exports." localSheetId="1" hidden="1">[134]BOP!$A$36:$IV$36,[134]BOP!$A$44:$IV$44,[134]BOP!$A$59:$IV$59,[134]BOP!#REF!,[134]BOP!#REF!,[134]BOP!$A$79:$IV$79,[134]BOP!$A$81:$IV$88,[134]BOP!#REF!</definedName>
    <definedName name="Cwvu.exports." localSheetId="0" hidden="1">[134]BOP!$A$36:$IV$36,[134]BOP!$A$44:$IV$44,[134]BOP!$A$59:$IV$59,[134]BOP!#REF!,[134]BOP!#REF!,[134]BOP!$A$79:$IV$79,[134]BOP!$A$81:$IV$88,[134]BOP!#REF!</definedName>
    <definedName name="Cwvu.exports." hidden="1">[134]BOP!$A$36:$IV$36,[134]BOP!$A$44:$IV$44,[134]BOP!$A$59:$IV$59,[134]BOP!#REF!,[134]BOP!#REF!,[134]BOP!$A$79:$IV$79,[134]BOP!$A$81:$IV$88,[134]BOP!#REF!</definedName>
    <definedName name="Cwvu.gold." localSheetId="21" hidden="1">[134]BOP!$A$36:$IV$36,[134]BOP!$A$44:$IV$44,[134]BOP!$A$59:$IV$59,[134]BOP!#REF!,[134]BOP!#REF!,[134]BOP!$A$79:$IV$79,[134]BOP!$A$81:$IV$88,[134]BOP!#REF!</definedName>
    <definedName name="Cwvu.gold." localSheetId="1" hidden="1">[134]BOP!$A$36:$IV$36,[134]BOP!$A$44:$IV$44,[134]BOP!$A$59:$IV$59,[134]BOP!#REF!,[134]BOP!#REF!,[134]BOP!$A$79:$IV$79,[134]BOP!$A$81:$IV$88,[134]BOP!#REF!</definedName>
    <definedName name="Cwvu.gold." localSheetId="0" hidden="1">[134]BOP!$A$36:$IV$36,[134]BOP!$A$44:$IV$44,[134]BOP!$A$59:$IV$59,[134]BOP!#REF!,[134]BOP!#REF!,[134]BOP!$A$79:$IV$79,[134]BOP!$A$81:$IV$88,[134]BOP!#REF!</definedName>
    <definedName name="Cwvu.gold." hidden="1">[134]BOP!$A$36:$IV$36,[134]BOP!$A$44:$IV$44,[134]BOP!$A$59:$IV$59,[134]BOP!#REF!,[134]BOP!#REF!,[134]BOP!$A$79:$IV$79,[134]BOP!$A$81:$IV$88,[134]BOP!#REF!</definedName>
    <definedName name="Cwvu.goldall." localSheetId="21" hidden="1">[134]BOP!$A$36:$IV$36,[134]BOP!$A$44:$IV$44,[134]BOP!$A$59:$IV$59,[134]BOP!#REF!,[134]BOP!#REF!,[134]BOP!$A$79:$IV$79,[134]BOP!$A$81:$IV$88,[134]BOP!#REF!</definedName>
    <definedName name="Cwvu.goldall." localSheetId="1" hidden="1">[134]BOP!$A$36:$IV$36,[134]BOP!$A$44:$IV$44,[134]BOP!$A$59:$IV$59,[134]BOP!#REF!,[134]BOP!#REF!,[134]BOP!$A$79:$IV$79,[134]BOP!$A$81:$IV$88,[134]BOP!#REF!</definedName>
    <definedName name="Cwvu.goldall." localSheetId="0" hidden="1">[134]BOP!$A$36:$IV$36,[134]BOP!$A$44:$IV$44,[134]BOP!$A$59:$IV$59,[134]BOP!#REF!,[134]BOP!#REF!,[134]BOP!$A$79:$IV$79,[134]BOP!$A$81:$IV$88,[134]BOP!#REF!</definedName>
    <definedName name="Cwvu.goldall." hidden="1">[134]BOP!$A$36:$IV$36,[134]BOP!$A$44:$IV$44,[134]BOP!$A$59:$IV$59,[134]BOP!#REF!,[134]BOP!#REF!,[134]BOP!$A$79:$IV$79,[134]BOP!$A$81:$IV$88,[134]BOP!#REF!</definedName>
    <definedName name="Cwvu.IMPORT." localSheetId="21" hidden="1">#REF!</definedName>
    <definedName name="Cwvu.IMPORT." localSheetId="1" hidden="1">#REF!</definedName>
    <definedName name="Cwvu.IMPORT." localSheetId="0" hidden="1">#REF!</definedName>
    <definedName name="Cwvu.IMPORT." hidden="1">#REF!</definedName>
    <definedName name="Cwvu.imports." localSheetId="21" hidden="1">[134]BOP!$A$36:$IV$36,[134]BOP!$A$44:$IV$44,[134]BOP!$A$59:$IV$59,[134]BOP!#REF!,[134]BOP!#REF!,[134]BOP!$A$79:$IV$79,[134]BOP!$A$81:$IV$88,[134]BOP!#REF!,[134]BOP!#REF!</definedName>
    <definedName name="Cwvu.imports." localSheetId="1" hidden="1">[134]BOP!$A$36:$IV$36,[134]BOP!$A$44:$IV$44,[134]BOP!$A$59:$IV$59,[134]BOP!#REF!,[134]BOP!#REF!,[134]BOP!$A$79:$IV$79,[134]BOP!$A$81:$IV$88,[134]BOP!#REF!,[134]BOP!#REF!</definedName>
    <definedName name="Cwvu.imports." localSheetId="0" hidden="1">[134]BOP!$A$36:$IV$36,[134]BOP!$A$44:$IV$44,[134]BOP!$A$59:$IV$59,[134]BOP!#REF!,[134]BOP!#REF!,[134]BOP!$A$79:$IV$79,[134]BOP!$A$81:$IV$88,[134]BOP!#REF!,[134]BOP!#REF!</definedName>
    <definedName name="Cwvu.imports." hidden="1">[134]BOP!$A$36:$IV$36,[134]BOP!$A$44:$IV$44,[134]BOP!$A$59:$IV$59,[134]BOP!#REF!,[134]BOP!#REF!,[134]BOP!$A$79:$IV$79,[134]BOP!$A$81:$IV$88,[134]BOP!#REF!,[134]BOP!#REF!</definedName>
    <definedName name="Cwvu.importsall." localSheetId="21" hidden="1">[134]BOP!$A$36:$IV$36,[134]BOP!$A$44:$IV$44,[134]BOP!$A$59:$IV$59,[134]BOP!#REF!,[134]BOP!#REF!,[134]BOP!$A$79:$IV$79,[134]BOP!$A$81:$IV$88,[134]BOP!#REF!,[134]BOP!#REF!</definedName>
    <definedName name="Cwvu.importsall." localSheetId="1" hidden="1">[134]BOP!$A$36:$IV$36,[134]BOP!$A$44:$IV$44,[134]BOP!$A$59:$IV$59,[134]BOP!#REF!,[134]BOP!#REF!,[134]BOP!$A$79:$IV$79,[134]BOP!$A$81:$IV$88,[134]BOP!#REF!,[134]BOP!#REF!</definedName>
    <definedName name="Cwvu.importsall." localSheetId="0" hidden="1">[134]BOP!$A$36:$IV$36,[134]BOP!$A$44:$IV$44,[134]BOP!$A$59:$IV$59,[134]BOP!#REF!,[134]BOP!#REF!,[134]BOP!$A$79:$IV$79,[134]BOP!$A$81:$IV$88,[134]BOP!#REF!,[134]BOP!#REF!</definedName>
    <definedName name="Cwvu.importsall." hidden="1">[134]BOP!$A$36:$IV$36,[134]BOP!$A$44:$IV$44,[134]BOP!$A$59:$IV$59,[134]BOP!#REF!,[134]BOP!#REF!,[134]BOP!$A$79:$IV$79,[134]BOP!$A$81:$IV$88,[134]BOP!#REF!,[134]BOP!#REF!</definedName>
    <definedName name="Cwvu.Print." hidden="1">[137]Indic!$A$109:$IV$109,[137]Indic!$A$196:$IV$197,[137]Indic!$A$208:$IV$209,[137]Indic!$A$217:$IV$218</definedName>
    <definedName name="Cwvu.sa97." hidden="1">[138]Rev!$A$23:$IV$26,[138]Rev!$A$37:$IV$38</definedName>
    <definedName name="Cwvu.snh." localSheetId="21" hidden="1">#REF!,#REF!,#REF!,#REF!,#REF!,#REF!,#REF!</definedName>
    <definedName name="Cwvu.snh." hidden="1">#REF!,#REF!,#REF!,#REF!,#REF!,#REF!,#REF!</definedName>
    <definedName name="Cwvu.tot." localSheetId="21" hidden="1">[134]BOP!$A$36:$IV$36,[134]BOP!$A$44:$IV$44,[134]BOP!$A$59:$IV$59,[134]BOP!#REF!,[134]BOP!#REF!,[134]BOP!$A$79:$IV$79</definedName>
    <definedName name="Cwvu.tot." localSheetId="1" hidden="1">[134]BOP!$A$36:$IV$36,[134]BOP!$A$44:$IV$44,[134]BOP!$A$59:$IV$59,[134]BOP!#REF!,[134]BOP!#REF!,[134]BOP!$A$79:$IV$79</definedName>
    <definedName name="Cwvu.tot." localSheetId="0" hidden="1">[134]BOP!$A$36:$IV$36,[134]BOP!$A$44:$IV$44,[134]BOP!$A$59:$IV$59,[134]BOP!#REF!,[134]BOP!#REF!,[134]BOP!$A$79:$IV$79</definedName>
    <definedName name="Cwvu.tot." hidden="1">[134]BOP!$A$36:$IV$36,[134]BOP!$A$44:$IV$44,[134]BOP!$A$59:$IV$59,[134]BOP!#REF!,[134]BOP!#REF!,[134]BOP!$A$79:$IV$79</definedName>
    <definedName name="Cyprus">#REF!</definedName>
    <definedName name="Czech_Republic">#REF!</definedName>
    <definedName name="D" localSheetId="1" hidden="1">{"Main Economic Indicators",#N/A,FALSE,"C"}</definedName>
    <definedName name="D" localSheetId="0" hidden="1">{"Main Economic Indicators",#N/A,FALSE,"C"}</definedName>
    <definedName name="D">'[91]Output WEO'!#REF!</definedName>
    <definedName name="d._Other_Real_Estate__Including_Land_Purchase___Plotting__26">'[51]9.3ka'!$A$30:$IV$30</definedName>
    <definedName name="D_B">'[91]Output WEO'!#REF!</definedName>
    <definedName name="D_G">'[91]Output WEO'!#REF!</definedName>
    <definedName name="D_L">'[91]Output WEO'!#REF!</definedName>
    <definedName name="D_O">'[91]Output WEO'!#REF!</definedName>
    <definedName name="D_S">'[91]Output WEO'!#REF!</definedName>
    <definedName name="D_SRM">'[91]Output WEO'!#REF!</definedName>
    <definedName name="D02HIST.XLS">#REF!</definedName>
    <definedName name="D11N">[83]DB95Q!$A$154:$IP$154</definedName>
    <definedName name="D2112N">[83]DB95Q!$A$189:$IP$189</definedName>
    <definedName name="D21BN">[83]DB95Q!$A$248:$IP$248</definedName>
    <definedName name="DA">'[91]Output WEO'!#REF!</definedName>
    <definedName name="DABproj">#N/A</definedName>
    <definedName name="dada">[139]OrgaGlobal!$C$8:$R$145</definedName>
    <definedName name="dadi">[139]OrgaGlobal!$T$8:$W$97</definedName>
    <definedName name="dados">'[140]OC-Corrente2001 Revisao'!$AP$1:$AQ$105</definedName>
    <definedName name="daf">#REF!</definedName>
    <definedName name="DAGproj">#N/A</definedName>
    <definedName name="DAproj">#N/A</definedName>
    <definedName name="DASD">#N/A</definedName>
    <definedName name="DASDB">#N/A</definedName>
    <definedName name="DASDG">#N/A</definedName>
    <definedName name="DATA">'[1]Page 7'!#REF!</definedName>
    <definedName name="data1" localSheetId="21" hidden="1">#REF!</definedName>
    <definedName name="data1" localSheetId="1" hidden="1">#REF!</definedName>
    <definedName name="data1" localSheetId="0" hidden="1">#REF!</definedName>
    <definedName name="data1" hidden="1">#REF!</definedName>
    <definedName name="data2" localSheetId="21" hidden="1">#REF!</definedName>
    <definedName name="data2" localSheetId="1" hidden="1">#REF!</definedName>
    <definedName name="data2" localSheetId="0" hidden="1">#REF!</definedName>
    <definedName name="data2" hidden="1">#REF!</definedName>
    <definedName name="data3" localSheetId="21" hidden="1">#REF!</definedName>
    <definedName name="data3" localSheetId="1" hidden="1">#REF!</definedName>
    <definedName name="data3" localSheetId="0" hidden="1">#REF!</definedName>
    <definedName name="data3" hidden="1">#REF!</definedName>
    <definedName name="_xlnm.Database">#REF!</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[141]GDP_QTR!#REF!</definedName>
    <definedName name="DATEA_P">[141]GDP_QTR!#REF!</definedName>
    <definedName name="DATEM">#REF!</definedName>
    <definedName name="DATEM2">#REF!</definedName>
    <definedName name="DATEQ">[141]GDP_QTR!#REF!</definedName>
    <definedName name="DATEQ_P">[141]GDP_QTR!#REF!</definedName>
    <definedName name="dates">#REF!</definedName>
    <definedName name="DATES__________">[142]outsheet!$B$6:$H$6</definedName>
    <definedName name="DATES_90">#REF!</definedName>
    <definedName name="DATES_Q">'[103]Complete Data Set (Quarterly)'!$E$4:$AV$4</definedName>
    <definedName name="Dates_RawData">#REF!</definedName>
    <definedName name="Dates_SAData">#REF!</definedName>
    <definedName name="DATES_THEN">'[103]Source Data (Previous)'!$E$8:$X$8</definedName>
    <definedName name="dates_w">#REF!</definedName>
    <definedName name="datesweo">#REF!</definedName>
    <definedName name="datesweo1">#REF!</definedName>
    <definedName name="datesweo2">#REF!</definedName>
    <definedName name="Datum">OFFSET([143]DATA!$A$3,[143]DATA!$D$1-3,0,[143]DATA!$L$1-[143]DATA!$D$1+3,1)</definedName>
    <definedName name="DatumSmall">OFFSET([143]DATA!$A$3,[143]DATA!$I$1-3,0,[143]DATA!$L$1-[143]DATA!$I$1+3,1)</definedName>
    <definedName name="DatumYpath">OFFSET('[144]12'!#REF!,'[144]12'!$B$5-1,0,'[144]12'!$B$4-'[144]12'!$B$5+1,1)</definedName>
    <definedName name="DB">'[91]Output WEO'!#REF!</definedName>
    <definedName name="DBA">'[92]AFR -WETA DAta'!#REF!</definedName>
    <definedName name="DBI">'[92]AFR -WETA DAta'!#REF!</definedName>
    <definedName name="DBIEXT">Sheet5</definedName>
    <definedName name="DBIREAL">Sheet2</definedName>
    <definedName name="DBproj">#N/A</definedName>
    <definedName name="dd" localSheetId="21" hidden="1">{"Riqfin97",#N/A,FALSE,"Tran";"Riqfinpro",#N/A,FALSE,"Tran"}</definedName>
    <definedName name="dd" localSheetId="1" hidden="1">{"Riqfin97",#N/A,FALSE,"Tran";"Riqfinpro",#N/A,FALSE,"Tran"}</definedName>
    <definedName name="dd" localSheetId="0" hidden="1">{"Riqfin97",#N/A,FALSE,"Tran";"Riqfinpro",#N/A,FALSE,"Tran"}</definedName>
    <definedName name="dd" hidden="1">{"Riqfin97",#N/A,FALSE,"Tran";"Riqfinpro",#N/A,FALSE,"Tran"}</definedName>
    <definedName name="ddd" localSheetId="21" hidden="1">{"Riqfin97",#N/A,FALSE,"Tran";"Riqfinpro",#N/A,FALSE,"Tran"}</definedName>
    <definedName name="ddd" localSheetId="1" hidden="1">{"Riqfin97",#N/A,FALSE,"Tran";"Riqfinpro",#N/A,FALSE,"Tran"}</definedName>
    <definedName name="ddd" localSheetId="0" hidden="1">{"Riqfin97",#N/A,FALSE,"Tran";"Riqfinpro",#N/A,FALSE,"Tran"}</definedName>
    <definedName name="ddd" hidden="1">{"Riqfin97",#N/A,FALSE,"Tran";"Riqfinpro",#N/A,FALSE,"Tran"}</definedName>
    <definedName name="dddd" localSheetId="21" hidden="1">{"Minpmon",#N/A,FALSE,"Monthinput"}</definedName>
    <definedName name="dddd" localSheetId="1" hidden="1">{"Minpmon",#N/A,FALSE,"Monthinput"}</definedName>
    <definedName name="dddd" localSheetId="0" hidden="1">{"Minpmon",#N/A,FALSE,"Monthinput"}</definedName>
    <definedName name="dddd" hidden="1">{"Minpmon",#N/A,FALSE,"Monthinput"}</definedName>
    <definedName name="ddddd" localSheetId="21" hidden="1">{"Riqfin97",#N/A,FALSE,"Tran";"Riqfinpro",#N/A,FALSE,"Tran"}</definedName>
    <definedName name="ddddd" localSheetId="1" hidden="1">{"Riqfin97",#N/A,FALSE,"Tran";"Riqfinpro",#N/A,FALSE,"Tran"}</definedName>
    <definedName name="ddddd" localSheetId="0" hidden="1">{"Riqfin97",#N/A,FALSE,"Tran";"Riqfinpro",#N/A,FALSE,"Tran"}</definedName>
    <definedName name="ddddd" hidden="1">{"Riqfin97",#N/A,FALSE,"Tran";"Riqfinpro",#N/A,FALSE,"Tran"}</definedName>
    <definedName name="dddddd" localSheetId="21" hidden="1">{"Tab1",#N/A,FALSE,"P";"Tab2",#N/A,FALSE,"P"}</definedName>
    <definedName name="dddddd" localSheetId="1" hidden="1">{"Tab1",#N/A,FALSE,"P";"Tab2",#N/A,FALSE,"P"}</definedName>
    <definedName name="dddddd" localSheetId="0" hidden="1">{"Tab1",#N/A,FALSE,"P";"Tab2",#N/A,FALSE,"P"}</definedName>
    <definedName name="dddddd" hidden="1">{"Tab1",#N/A,FALSE,"P";"Tab2",#N/A,FALSE,"P"}</definedName>
    <definedName name="dddddddd">{"Main Economic Indicators",#N/A,FALSE,"C"}</definedName>
    <definedName name="ddddddr">{"Main Economic Indicators",#N/A,FALSE,"C"}</definedName>
    <definedName name="dddf">{"Main Economic Indicators",#N/A,FALSE,"C"}</definedName>
    <definedName name="dddg">{"Main Economic Indicators",#N/A,FALSE,"C"}</definedName>
    <definedName name="ddfghg">{"Main Economic Indicators",#N/A,FALSE,"C"}</definedName>
    <definedName name="Debenture___Bonds_1.2.4">'[51]9.2'!$A$61:$IV$61</definedName>
    <definedName name="Debenture___Bonds_2.4">'[51]9.1'!#REF!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Dev">[78]Control!$D$58</definedName>
    <definedName name="DebtExplore">[78]Control!$D$57</definedName>
    <definedName name="DebtGracePeriod">[78]Control!$D$60</definedName>
    <definedName name="DebtInterestRateMargin">[78]Control!$D$61</definedName>
    <definedName name="DebtRepaymentYears">[78]Control!$D$59</definedName>
    <definedName name="Deflator_PIB">[84]PRESSUP!$A$12:$IV$12</definedName>
    <definedName name="DeflatorYear">"$2018"</definedName>
    <definedName name="DEM">[77]CIRRs!$C$84</definedName>
    <definedName name="Demand___Other_Working_Capital_Loan_16">'[51]9.3ka'!$A$20:$IV$20</definedName>
    <definedName name="Density">[93]Prices!$F$92:$F$97</definedName>
    <definedName name="DEOst">#REF!</definedName>
    <definedName name="Department">[90]REER!$B$2</definedName>
    <definedName name="Deprived_Sector_Loan_38">'[51]9.3ka'!$A$42:$IV$42</definedName>
    <definedName name="der" localSheetId="21" hidden="1">{"Tab1",#N/A,FALSE,"P";"Tab2",#N/A,FALSE,"P"}</definedName>
    <definedName name="der" localSheetId="1" hidden="1">{"Tab1",#N/A,FALSE,"P";"Tab2",#N/A,FALSE,"P"}</definedName>
    <definedName name="der" localSheetId="0" hidden="1">{"Tab1",#N/A,FALSE,"P";"Tab2",#N/A,FALSE,"P"}</definedName>
    <definedName name="der" hidden="1">{"Tab1",#N/A,FALSE,"P";"Tab2",#N/A,FALSE,"P"}</definedName>
    <definedName name="DES">#REF!</definedName>
    <definedName name="Despesa_corrente">[84]DESPESA!$A$20:$IV$20</definedName>
    <definedName name="DevelopmentStartYear">[78]Control!$D$9</definedName>
    <definedName name="DEWest">#REF!</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{"Main Economic Indicators",#N/A,FALSE,"C"}</definedName>
    <definedName name="DFSpline">[0]!DFSpline</definedName>
    <definedName name="DFSpline2">[0]!DFSpline2</definedName>
    <definedName name="DFSpline3">[0]!DFSpline3</definedName>
    <definedName name="dftyihiuh">{"macro",#N/A,FALSE,"Macro";"smq2",#N/A,FALSE,"Data";"smq3",#N/A,FALSE,"Data";"smq4",#N/A,FALSE,"Data";"smq5",#N/A,FALSE,"Data";"smq6",#N/A,FALSE,"Data";"smq7",#N/A,FALSE,"Data";"smq8",#N/A,FALSE,"Data";"smq9",#N/A,FALSE,"Data"}</definedName>
    <definedName name="DG">'[91]Output WEO'!#REF!</definedName>
    <definedName name="DG_S">'[91]Output WEO'!#REF!</definedName>
    <definedName name="DGproj">#N/A</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ff_Bmark">OFFSET([143]DATA!$I$3,[143]DATA!$I$1-3,0,[143]DATA!$L$1-[143]DATA!$I$1+3,1)</definedName>
    <definedName name="Diff_Bmark3M">OFFSET([143]DATA!$I$3,[143]DATA!$I$1-3,0,[143]DATA!$L$1-[143]DATA!$I$1+3,1)</definedName>
    <definedName name="Diff_Bmark6M">OFFSET([143]DATA!$J$3,[143]DATA!$I$1-3,0,[143]DATA!$L$1-[143]DATA!$I$1+3,1)</definedName>
    <definedName name="Diff_Bubor">OFFSET([143]DATA!$N$3,[143]DATA!$I$1-3,0,[143]DATA!$L$1-[143]DATA!$I$1+3,1)</definedName>
    <definedName name="DiffAtIRateChange">OFFSET([143]DATA!$Q$3,[143]DATA!$D$1-3,0,[143]DATA!$L$1-[143]DATA!$D$1+3,1)</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'[106]DMX Metadata Values'!$AB$551:$AB$554</definedName>
    <definedName name="dirscr112">'[106]DMX Metadata Values'!$AB$546:$AB$550</definedName>
    <definedName name="dirscr113">'[106]DMX Metadata Values'!$AB$228</definedName>
    <definedName name="dirscr117">'[106]DMX Metadata Values'!$AB$275</definedName>
    <definedName name="dirscr118">'[106]DMX Metadata Values'!$AB$261</definedName>
    <definedName name="dirscr122">'[106]DMX Metadata Values'!$AB$29:$AB$30</definedName>
    <definedName name="dirscr124">'[106]DMX Metadata Values'!$AB$49:$AB$52</definedName>
    <definedName name="dirscr128">'[106]DMX Metadata Values'!$AB$153:$AB$154</definedName>
    <definedName name="dirscr132">'[106]DMX Metadata Values'!$AB$193:$AB$198</definedName>
    <definedName name="dirscr134">'[106]DMX Metadata Values'!$AB$210:$AB$215</definedName>
    <definedName name="dirscr135">'[106]DMX Metadata Values'!$AB$436:$AB$438</definedName>
    <definedName name="dirscr136">'[106]DMX Metadata Values'!$AB$264:$AB$268</definedName>
    <definedName name="dirscr137">'[106]DMX Metadata Values'!$AB$320:$AB$321</definedName>
    <definedName name="dirscr138">'[106]DMX Metadata Values'!$AB$379:$AB$381</definedName>
    <definedName name="dirscr142">'[106]DMX Metadata Values'!$AB$394:$AB$395</definedName>
    <definedName name="dirscr144">'[106]DMX Metadata Values'!$AB$497:$AB$501</definedName>
    <definedName name="dirscr146">'[106]DMX Metadata Values'!$AB$502:$AB$505</definedName>
    <definedName name="dirscr147">'[106]DMX Metadata Values'!$AB$316</definedName>
    <definedName name="dirscr156">'[106]DMX Metadata Values'!$AB$99:$AB$100</definedName>
    <definedName name="dirscr158">'[106]DMX Metadata Values'!$AB$272:$AB$274</definedName>
    <definedName name="dirscr163">'[106]DMX Metadata Values'!$AB$181:$AB$182</definedName>
    <definedName name="dirscr172">'[106]DMX Metadata Values'!$AB$189:$AB$192</definedName>
    <definedName name="dirscr174">'[106]DMX Metadata Values'!$AB$219:$AB$221</definedName>
    <definedName name="dirscr176">'[106]DMX Metadata Values'!$AB$247:$AB$248</definedName>
    <definedName name="dirscr178">'[106]DMX Metadata Values'!$AB$257:$AB$260</definedName>
    <definedName name="dirscr181">'[106]DMX Metadata Values'!$AB$339:$AB$341</definedName>
    <definedName name="dirscr182">'[106]DMX Metadata Values'!$AB$417:$AB$419</definedName>
    <definedName name="dirscr184">'[106]DMX Metadata Values'!$AB$473:$AB$477</definedName>
    <definedName name="dirscr186">'[106]DMX Metadata Values'!$AB$531:$AB$533</definedName>
    <definedName name="dirscr193">'[106]DMX Metadata Values'!$AB$26:$AB$28</definedName>
    <definedName name="dirscr196">'[106]DMX Metadata Values'!$AB$384:$AB$385</definedName>
    <definedName name="dirscr199">'[106]DMX Metadata Values'!$AB$470:$AB$472</definedName>
    <definedName name="dirscr213">'[106]DMX Metadata Values'!$AB$18:$AB$20</definedName>
    <definedName name="dirscr218">'[106]DMX Metadata Values'!$AB$65:$AB$68</definedName>
    <definedName name="dirscr223">'[106]DMX Metadata Values'!$AB$76:$AB$79</definedName>
    <definedName name="dirscr228">'[106]DMX Metadata Values'!$AB$113:$AB$114</definedName>
    <definedName name="dirscr233">'[106]DMX Metadata Values'!$AB$127:$AB$129</definedName>
    <definedName name="dirscr238">'[106]DMX Metadata Values'!$AB$139:$AB$140</definedName>
    <definedName name="dirscr243">'[106]DMX Metadata Values'!$AB$162</definedName>
    <definedName name="dirscr248">'[106]DMX Metadata Values'!$AB$163:$AB$165</definedName>
    <definedName name="dirscr253">'[106]DMX Metadata Values'!$AB$169:$AB$170</definedName>
    <definedName name="dirscr258">'[106]DMX Metadata Values'!$AB$225:$AB$227</definedName>
    <definedName name="dirscr263">'[106]DMX Metadata Values'!$AB$238:$AB$240</definedName>
    <definedName name="dirscr268">'[106]DMX Metadata Values'!$AB$241:$AB$243</definedName>
    <definedName name="dirscr273">'[106]DMX Metadata Values'!$AB$350:$AB$352</definedName>
    <definedName name="dirscr278">'[106]DMX Metadata Values'!$AB$386:$AB$387</definedName>
    <definedName name="dirscr283">'[106]DMX Metadata Values'!$AB$401:$AB$404</definedName>
    <definedName name="dirscr288">'[106]DMX Metadata Values'!$AB$407:$AB$408</definedName>
    <definedName name="dirscr293">'[106]DMX Metadata Values'!$AB$409:$AB$410</definedName>
    <definedName name="dirscr298">'[106]DMX Metadata Values'!$AB$555:$AB$556</definedName>
    <definedName name="dirscr299">'[106]DMX Metadata Values'!$AB$563:$AB$564</definedName>
    <definedName name="dirscr311">'[106]DMX Metadata Values'!$AB$16:$AB$17</definedName>
    <definedName name="dirscr312">'[106]DMX Metadata Values'!$AB$14:$AB$15</definedName>
    <definedName name="dirscr313">'[106]DMX Metadata Values'!$AB$34:$AB$36</definedName>
    <definedName name="dirscr314">'[106]DMX Metadata Values'!$AB$24:$AB$25</definedName>
    <definedName name="dirscr316">'[106]DMX Metadata Values'!$AB$43:$AB$45</definedName>
    <definedName name="dirscr319">'[106]DMX Metadata Values'!$AB$60:$AB$61</definedName>
    <definedName name="dirscr321">'[106]DMX Metadata Values'!$AB$159:$AB$161</definedName>
    <definedName name="dirscr328">'[106]DMX Metadata Values'!$AB$222:$AB$223</definedName>
    <definedName name="dirscr329">'[106]DMX Metadata Values'!$AB$224</definedName>
    <definedName name="dirscr333">'[106]DMX Metadata Values'!$AB$229</definedName>
    <definedName name="dirscr336">'[106]DMX Metadata Values'!$AB$235:$AB$237</definedName>
    <definedName name="dirscr339">'[106]DMX Metadata Values'!$AB$53:$AB$56</definedName>
    <definedName name="dirscr343">'[106]DMX Metadata Values'!$AB$269:$AB$271</definedName>
    <definedName name="dirscr349">'[106]DMX Metadata Values'!$AB$343</definedName>
    <definedName name="dirscr353">'[106]DMX Metadata Values'!$AB$382:$AB$383</definedName>
    <definedName name="dirscr361">'[106]DMX Metadata Values'!$AB$479:$AB$481</definedName>
    <definedName name="dirscr362">'[106]DMX Metadata Values'!$AB$482:$AB$484</definedName>
    <definedName name="dirscr364">'[106]DMX Metadata Values'!$AB$485:$AB$487</definedName>
    <definedName name="dirscr366">'[106]DMX Metadata Values'!$AB$491:$AB$493</definedName>
    <definedName name="dirscr369">'[106]DMX Metadata Values'!$AB$525:$AB$527</definedName>
    <definedName name="dirscr377">'[106]DMX Metadata Values'!$AB$105:$AB$106</definedName>
    <definedName name="dirscr419">'[106]DMX Metadata Values'!$AB$37:$AB$39</definedName>
    <definedName name="dirscr423">'[106]DMX Metadata Values'!$AB$146:$AB$148</definedName>
    <definedName name="dirscr429">'[106]DMX Metadata Values'!$AB$254</definedName>
    <definedName name="dirscr433">'[106]DMX Metadata Values'!$AB$255:$AB$256</definedName>
    <definedName name="dirscr436">'[106]DMX Metadata Values'!$AB$262:$AB$263</definedName>
    <definedName name="dirscr439">'[106]DMX Metadata Values'!$AB$276:$AB$278</definedName>
    <definedName name="dirscr443">'[106]DMX Metadata Values'!$AB$291:$AB$293</definedName>
    <definedName name="dirscr446">'[106]DMX Metadata Values'!$AB$302:$AB$304</definedName>
    <definedName name="dirscr449">'[106]DMX Metadata Values'!$AB$396:$AB$397</definedName>
    <definedName name="dirscr453">'[106]DMX Metadata Values'!$AB$420:$AB$422</definedName>
    <definedName name="dirscr456">'[106]DMX Metadata Values'!$AB$441:$AB$443</definedName>
    <definedName name="dirscr463">'[106]DMX Metadata Values'!$AB$506:$AB$508</definedName>
    <definedName name="dirscr466">'[106]DMX Metadata Values'!$AB$543:$AB$545</definedName>
    <definedName name="dirscr469">'[106]DMX Metadata Values'!$AB$166:$AB$168</definedName>
    <definedName name="dirscr474">'[106]DMX Metadata Values'!$AB$569:$AB$571</definedName>
    <definedName name="dirscr487">'[106]DMX Metadata Values'!$AB$567:$AB$568</definedName>
    <definedName name="dirscr512">'[106]DMX Metadata Values'!$AB$3:$AB$4</definedName>
    <definedName name="dirscr513">'[106]DMX Metadata Values'!$AB$40:$AB$42</definedName>
    <definedName name="dirscr514">'[106]DMX Metadata Values'!$AB$62:$AB$64</definedName>
    <definedName name="dirscr516">'[106]DMX Metadata Values'!$AB$80:$AB$83</definedName>
    <definedName name="dirscr518">'[106]DMX Metadata Values'!$AB$370:$AB$372</definedName>
    <definedName name="dirscr522">'[106]DMX Metadata Values'!$AB$93:$AB$95</definedName>
    <definedName name="dirscr524">'[106]DMX Metadata Values'!$AB$478</definedName>
    <definedName name="dirscr528">'[106]DMX Metadata Values'!$AB$509</definedName>
    <definedName name="dirscr532">'[106]DMX Metadata Values'!$AB$115:$AB$117</definedName>
    <definedName name="dirscr534">'[106]DMX Metadata Values'!$AB$249:$AB$250</definedName>
    <definedName name="dirscr536">'[106]DMX Metadata Values'!$AB$251:$AB$253</definedName>
    <definedName name="dirscr542">'[106]DMX Metadata Values'!$AB$288:$AB$290</definedName>
    <definedName name="dirscr544">'[106]DMX Metadata Values'!$AB$297:$AB$298</definedName>
    <definedName name="dirscr546">'[106]DMX Metadata Values'!$AB$123:$AB$126</definedName>
    <definedName name="dirscr548">'[106]DMX Metadata Values'!$AB$331:$AB$332</definedName>
    <definedName name="dirscr556">'[106]DMX Metadata Values'!$AB$333:$AB$335</definedName>
    <definedName name="dirscr558">'[106]DMX Metadata Values'!$AB$376:$AB$378</definedName>
    <definedName name="dirscr564">'[106]DMX Metadata Values'!$AB$398:$AB$400</definedName>
    <definedName name="dirscr566">'[106]DMX Metadata Values'!$AB$411:$AB$413</definedName>
    <definedName name="dirscr576">'[106]DMX Metadata Values'!$AB$456:$AB$459</definedName>
    <definedName name="dirscr582">'[106]DMX Metadata Values'!$AB$565:$AB$566</definedName>
    <definedName name="dirscr611">'[106]DMX Metadata Values'!$AB$155:$AB$158</definedName>
    <definedName name="dirscr612">'[106]DMX Metadata Values'!$AB$8:$AB$10</definedName>
    <definedName name="dirscr614">'[106]DMX Metadata Values'!$AB$11:$AB$13</definedName>
    <definedName name="dirscr616">'[106]DMX Metadata Values'!$AB$72:$AB$75</definedName>
    <definedName name="dirscr618">'[106]DMX Metadata Values'!$AB$90:$AB$92</definedName>
    <definedName name="dirscr622">'[106]DMX Metadata Values'!$AB$96:$AB$98</definedName>
    <definedName name="dirscr624">'[106]DMX Metadata Values'!$AB$101:$AB$104</definedName>
    <definedName name="dirscr626">'[106]DMX Metadata Values'!$AB$107:$AB$109</definedName>
    <definedName name="dirscr628">'[106]DMX Metadata Values'!$AB$110:$AB$112</definedName>
    <definedName name="dirscr632">'[106]DMX Metadata Values'!$AB$130:$AB$131</definedName>
    <definedName name="dirscr634">'[106]DMX Metadata Values'!$AB$136:$AB$138</definedName>
    <definedName name="dirscr636">'[106]DMX Metadata Values'!$AB$132:$AB$135</definedName>
    <definedName name="dirscr638">'[106]DMX Metadata Values'!$AB$57:$AB$59</definedName>
    <definedName name="dirscr642">'[106]DMX Metadata Values'!$AB$171:$AB$172</definedName>
    <definedName name="dirscr643">'[106]DMX Metadata Values'!$AB$173:$AB$174</definedName>
    <definedName name="dirscr644">'[106]DMX Metadata Values'!$AB$178:$AB$180</definedName>
    <definedName name="dirscr646">'[106]DMX Metadata Values'!$AB$200:$AB$203</definedName>
    <definedName name="dirscr648">'[106]DMX Metadata Values'!$AB$204:$AB$206</definedName>
    <definedName name="dirscr652">'[106]DMX Metadata Values'!$AB$216:$AB$218</definedName>
    <definedName name="dirscr654">'[106]DMX Metadata Values'!$AB$233:$AB$234</definedName>
    <definedName name="dirscr656">'[106]DMX Metadata Values'!$AB$230:$AB$232</definedName>
    <definedName name="dirscr662">'[106]DMX Metadata Values'!$AB$141:$AB$142</definedName>
    <definedName name="dirscr664">'[106]DMX Metadata Values'!$AB$282:$AB$285</definedName>
    <definedName name="dirscr666">'[106]DMX Metadata Values'!$AB$305:$AB$307</definedName>
    <definedName name="dirscr668">'[106]DMX Metadata Values'!$AB$308:$AB$310</definedName>
    <definedName name="dirscr672">'[106]DMX Metadata Values'!$AB$311:$AB$315</definedName>
    <definedName name="dirscr674">'[106]DMX Metadata Values'!$AB$325:$AB$327</definedName>
    <definedName name="dirscr676">'[106]DMX Metadata Values'!$AB$328:$AB$330</definedName>
    <definedName name="dirscr678">'[106]DMX Metadata Values'!$AB$336:$AB$338</definedName>
    <definedName name="dirscr682">'[106]DMX Metadata Values'!$AB$344:$AB$347</definedName>
    <definedName name="dirscr684">'[106]DMX Metadata Values'!$AB$348:$AB$349</definedName>
    <definedName name="dirscr686">'[106]DMX Metadata Values'!$AB$363:$AB$366</definedName>
    <definedName name="dirscr688">'[106]DMX Metadata Values'!$AB$367:$AB$369</definedName>
    <definedName name="dirscr692">'[106]DMX Metadata Values'!$AB$388:$AB$390</definedName>
    <definedName name="dirscr694">'[106]DMX Metadata Values'!$AB$391:$AB$393</definedName>
    <definedName name="dirscr698">'[106]DMX Metadata Values'!$AB$574:$AB$576</definedName>
    <definedName name="dirscr714">'[106]DMX Metadata Values'!$AB$430:$AB$432</definedName>
    <definedName name="dirscr716">'[106]DMX Metadata Values'!$AB$439:$AB$440</definedName>
    <definedName name="dirscr718">'[106]DMX Metadata Values'!$AB$452:$AB$454</definedName>
    <definedName name="dirscr722">'[106]DMX Metadata Values'!$AB$444:$AB$446</definedName>
    <definedName name="dirscr724">'[106]DMX Metadata Values'!$AB$455</definedName>
    <definedName name="dirscr726">'[106]DMX Metadata Values'!$AB$469</definedName>
    <definedName name="dirscr728">'[106]DMX Metadata Values'!$AB$373:$AB$375</definedName>
    <definedName name="dirscr732">'[106]DMX Metadata Values'!$AB$488:$AB$490</definedName>
    <definedName name="dirscr734">'[106]DMX Metadata Values'!$AB$494:$AB$496</definedName>
    <definedName name="dirscr738">'[106]DMX Metadata Values'!$AB$513:$AB$515</definedName>
    <definedName name="dirscr742">'[106]DMX Metadata Values'!$AB$519:$AB$521</definedName>
    <definedName name="dirscr744">'[106]DMX Metadata Values'!$AB$528:$AB$530</definedName>
    <definedName name="dirscr746">'[106]DMX Metadata Values'!$AB$537:$AB$539</definedName>
    <definedName name="dirscr748">'[106]DMX Metadata Values'!$AB$88:$AB$89</definedName>
    <definedName name="dirscr754">'[106]DMX Metadata Values'!$AB$572:$AB$573</definedName>
    <definedName name="dirscr758">'[106]DMX Metadata Values'!$AB$516:$AB$518</definedName>
    <definedName name="dirscr813">'[106]DMX Metadata Values'!$AB$466:$AB$468</definedName>
    <definedName name="dirscr819">'[106]DMX Metadata Values'!$AB$186:$AB$188</definedName>
    <definedName name="dirscr826">'[106]DMX Metadata Values'!$AB$286:$AB$287</definedName>
    <definedName name="dirscr839">'[106]DMX Metadata Values'!$AB$199</definedName>
    <definedName name="dirscr846">'[106]DMX Metadata Values'!$AB$560:$AB$562</definedName>
    <definedName name="dirscr853">'[106]DMX Metadata Values'!$AB$405:$AB$406</definedName>
    <definedName name="dirscr862">'[106]DMX Metadata Values'!$AB$433:$AB$435</definedName>
    <definedName name="dirscr866">'[106]DMX Metadata Values'!$AB$522:$AB$524</definedName>
    <definedName name="dirscr867">'[106]DMX Metadata Values'!$AB$342</definedName>
    <definedName name="dirscr868">'[106]DMX Metadata Values'!$AB$353:$AB$354</definedName>
    <definedName name="dirscr911">'[106]DMX Metadata Values'!$AB$21:$AB$23</definedName>
    <definedName name="dirscr912">'[106]DMX Metadata Values'!$AB$31:$AB$33</definedName>
    <definedName name="dirscr913">'[106]DMX Metadata Values'!$AB$46:$AB$48</definedName>
    <definedName name="dirscr914">'[106]DMX Metadata Values'!$AB$5:$AB$7</definedName>
    <definedName name="dirscr915">'[106]DMX Metadata Values'!$AB$207:$AB$209</definedName>
    <definedName name="dirscr916">'[106]DMX Metadata Values'!$AB$279:$AB$281</definedName>
    <definedName name="dirscr917">'[106]DMX Metadata Values'!$AB$294:$AB$296</definedName>
    <definedName name="dirscr918">'[106]DMX Metadata Values'!$AB$84:$AB$87</definedName>
    <definedName name="dirscr921">'[106]DMX Metadata Values'!$AB$355:$AB$357</definedName>
    <definedName name="dirscr922">'[106]DMX Metadata Values'!$AB$426:$AB$429</definedName>
    <definedName name="dirscr923">'[106]DMX Metadata Values'!$AB$510:$AB$512</definedName>
    <definedName name="dirscr924">'[106]DMX Metadata Values'!$AB$118:$AB$122</definedName>
    <definedName name="dirscr925">'[106]DMX Metadata Values'!$AB$534:$AB$536</definedName>
    <definedName name="dirscr926">'[106]DMX Metadata Values'!$AB$540:$AB$542</definedName>
    <definedName name="dirscr927">'[106]DMX Metadata Values'!$AB$557:$AB$559</definedName>
    <definedName name="dirscr935">'[106]DMX Metadata Values'!$AB$149:$AB$152</definedName>
    <definedName name="dirscr936">'[106]DMX Metadata Values'!$AB$460:$AB$462</definedName>
    <definedName name="dirscr939">'[106]DMX Metadata Values'!$AB$175:$AB$177</definedName>
    <definedName name="dirscr941">'[106]DMX Metadata Values'!$AB$299:$AB$301</definedName>
    <definedName name="dirscr942">'[106]DMX Metadata Values'!$AB$450:$AB$451</definedName>
    <definedName name="dirscr943">'[106]DMX Metadata Values'!$AB$361:$AB$362</definedName>
    <definedName name="dirscr944">'[106]DMX Metadata Values'!$AB$244:$AB$246</definedName>
    <definedName name="dirscr946">'[106]DMX Metadata Values'!$AB$317:$AB$319</definedName>
    <definedName name="dirscr948">'[106]DMX Metadata Values'!$AB$358:$AB$360</definedName>
    <definedName name="dirscr960">'[106]DMX Metadata Values'!$AB$143:$AB$145</definedName>
    <definedName name="dirscr961">'[106]DMX Metadata Values'!$AB$463:$AB$465</definedName>
    <definedName name="dirscr962">'[106]DMX Metadata Values'!$AB$322:$AB$324</definedName>
    <definedName name="dirscr963">'[106]DMX Metadata Values'!$AB$69:$AB$71</definedName>
    <definedName name="dirscr964">'[106]DMX Metadata Values'!$AB$414:$AB$416</definedName>
    <definedName name="dirscr965">'[106]DMX Metadata Values'!$AB$447:$AB$449</definedName>
    <definedName name="dirscr968">'[106]DMX Metadata Values'!$AB$423:$AB$425</definedName>
    <definedName name="Discount" localSheetId="21" hidden="1">#REF!</definedName>
    <definedName name="Discount" localSheetId="1" hidden="1">#REF!</definedName>
    <definedName name="Discount" localSheetId="0" hidden="1">#REF!</definedName>
    <definedName name="Discount" hidden="1">#REF!</definedName>
    <definedName name="Discount_IDA">[87]PV_Base!$B$25</definedName>
    <definedName name="Discount_NC">[103]Triangles!$H$742</definedName>
    <definedName name="Discount_Rate_GE">'[87]Data-Input'!$C$14</definedName>
    <definedName name="DiscRate">[78]Control!$D$53</definedName>
    <definedName name="discretion">#REF!</definedName>
    <definedName name="display_area_2" localSheetId="21" hidden="1">#REF!</definedName>
    <definedName name="display_area_2" localSheetId="1" hidden="1">#REF!</definedName>
    <definedName name="display_area_2" localSheetId="0" hidden="1">#REF!</definedName>
    <definedName name="display_area_2" hidden="1">#REF!</definedName>
    <definedName name="djop">{"macro",#N/A,FALSE,"Macro";"smq2",#N/A,FALSE,"Data";"smq3",#N/A,FALSE,"Data";"smq4",#N/A,FALSE,"Data";"smq5",#N/A,FALSE,"Data";"smq6",#N/A,FALSE,"Data";"smq7",#N/A,FALSE,"Data";"smq8",#N/A,FALSE,"Data";"smq9",#N/A,FALSE,"Data"}</definedName>
    <definedName name="dkam_bm3m">OFFSET([143]DATA!$I$1482,0,0,COUNTIF([143]DATA!$A$1482:$A$65536,"&gt;37000"),1)</definedName>
    <definedName name="dkam_datum">OFFSET([143]DATA!$A$1482,0,0,COUNTIF([143]DATA!$A$1482:$A$65536,"&gt;37000"),1)</definedName>
    <definedName name="dkam_lepes">OFFSET([143]DATA!$P$1482,0,0,COUNTIF([143]DATA!$A$1482:$A$65536,"&gt;37000"),1)</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'[118]IN_Chart5 Retail'!$A$1:$AN$5</definedName>
    <definedName name="DME_BeforeCloseCompleted">"False"</definedName>
    <definedName name="DME_ByPass">"True"</definedName>
    <definedName name="DME_Dirty" hidden="1">"False"</definedName>
    <definedName name="DME_LocalFile" hidden="1">"True"</definedName>
    <definedName name="DMU">'[92]AFR -WETA DAta'!#REF!</definedName>
    <definedName name="DO">'[91]Output WEO'!#REF!</definedName>
    <definedName name="Document_ID">'[87]Output - Submit'!$C$17</definedName>
    <definedName name="doit">#REF!</definedName>
    <definedName name="Domestic_Bills_27">'[51]9.4'!$A$31:$IV$31</definedName>
    <definedName name="Domestic_Bills_Purchased_7.1">'[51]9.1'!#REF!</definedName>
    <definedName name="Domestic_Currency_3.1">'[51]9.1'!#REF!</definedName>
    <definedName name="Domestic_Currency_3.1.1">'[51]9.1'!#REF!</definedName>
    <definedName name="Domestic_Currency_3.2.1">'[51]9.1'!#REF!</definedName>
    <definedName name="Domestic_Currency_3.3.1">'[51]9.1'!#REF!</definedName>
    <definedName name="Domestic_Currency_3.4.1">'[51]9.1'!#REF!</definedName>
    <definedName name="DoTEx">#REF!</definedName>
    <definedName name="DoTIm">#REF!</definedName>
    <definedName name="Dproj">#N/A</definedName>
    <definedName name="Draft_Paid_Without_Notice_10.8">'[51]9.1'!#REF!</definedName>
    <definedName name="drth" localSheetId="21" hidden="1">{"Minpmon",#N/A,FALSE,"Monthinput"}</definedName>
    <definedName name="drth" localSheetId="1" hidden="1">{"Minpmon",#N/A,FALSE,"Monthinput"}</definedName>
    <definedName name="drth" localSheetId="0" hidden="1">{"Minpmon",#N/A,FALSE,"Monthinput"}</definedName>
    <definedName name="drth" hidden="1">{"Minpmon",#N/A,FALSE,"Monthinput"}</definedName>
    <definedName name="DS">'[91]Output WEO'!#REF!</definedName>
    <definedName name="dsa" localSheetId="21" hidden="1">{"Tab1",#N/A,FALSE,"P";"Tab2",#N/A,FALSE,"P"}</definedName>
    <definedName name="dsa" localSheetId="1" hidden="1">{"Tab1",#N/A,FALSE,"P";"Tab2",#N/A,FALSE,"P"}</definedName>
    <definedName name="dsa" localSheetId="0" hidden="1">{"Tab1",#N/A,FALSE,"P";"Tab2",#N/A,FALSE,"P"}</definedName>
    <definedName name="dsa" hidden="1">{"Tab1",#N/A,FALSE,"P";"Tab2",#N/A,FALSE,"P"}</definedName>
    <definedName name="DSD">#N/A</definedName>
    <definedName name="DSD_S">#N/A</definedName>
    <definedName name="DSDB">#N/A</definedName>
    <definedName name="DSDG">#N/A</definedName>
    <definedName name="DSF__CLASSIFICATION_BIG_TABLE">#REF!</definedName>
    <definedName name="DSF__CLASSIFICATION_PROJECTION_YEAR">#REF!</definedName>
    <definedName name="DSF__COMMODITY_LATEST">#REF!</definedName>
    <definedName name="DSF__COMMODITY_TABLE">OFFSET(#REF!,0,0,COUNTA(#REF!),7)</definedName>
    <definedName name="DSF__Country_Info">OFFSET(#REF!,0,0,COUNTA(#REF!),COUNTA(#REF!))</definedName>
    <definedName name="DSF__DATA_CPIA">OFFSET(#REF!,0,0,COUNTA(#REF!)+5,COUNTA(#REF!)+5)</definedName>
    <definedName name="DSF__DATA_GDPUSD">OFFSET(#REF!,0,0,COUNTA(#REF!)+5,COUNTA(#REF!)+5)</definedName>
    <definedName name="DSF__DATA_REMGDP">OFFSET(#REF!,0,0,COUNTA(#REF!)+5,COUNTA(#REF!)+5)</definedName>
    <definedName name="DSF__FAD_DATA">OFFSET(#REF!,0,0,COUNTA(#REF!)+10,COUNTA(#REF!)+5)</definedName>
    <definedName name="DSF__LIST_DSA">OFFSET(#REF!,0,0,COUNTA(#REF!)+5,COUNTA(#REF!)+5)</definedName>
    <definedName name="DSF__PREV_DSA_DATA">OFFSET(DSF__PREV_DSA_START_CELL,0,0,COUNTA(#REF!)-1,COUNTA(#REF!))</definedName>
    <definedName name="DSF__PREV_DSA_START_CELL">#REF!</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'[91]Output WEO'!#REF!</definedName>
    <definedName name="DSIBproj">#N/A</definedName>
    <definedName name="DSIGproj">#N/A</definedName>
    <definedName name="DSIproj">#N/A</definedName>
    <definedName name="DSISD">#N/A</definedName>
    <definedName name="DSISDB">#N/A</definedName>
    <definedName name="DSISDG">#N/A</definedName>
    <definedName name="DSP">'[91]Output WEO'!#REF!</definedName>
    <definedName name="DSPBproj">#N/A</definedName>
    <definedName name="DSPG">'[91]Output WEO'!#REF!</definedName>
    <definedName name="DSPGproj">#N/A</definedName>
    <definedName name="DSPproj">#N/A</definedName>
    <definedName name="DSPSD">#N/A</definedName>
    <definedName name="DSPSDB">#N/A</definedName>
    <definedName name="DSPSDG">#N/A</definedName>
    <definedName name="Due_to_Change_in_Exchange_Rate_3.1">'[51]9.2'!$A$70:$IV$70</definedName>
    <definedName name="Due_to_Change_in_Exchange_Rates_5.1">'[51]9.2'!$A$30:$IV$30</definedName>
    <definedName name="Due_to_Foreign_Currency_Transaction_3.2">'[51]9.2'!$A$71:$IV$71</definedName>
    <definedName name="Due_to_Foreign_Currency_Transaction_5.2">'[51]9.2'!$A$31:$IV$31</definedName>
    <definedName name="DW_2021">#REF!</definedName>
    <definedName name="DWdata">#REF!</definedName>
    <definedName name="DXY">'[145]Dollar Index Data'!$A$8:$B$4794</definedName>
    <definedName name="e">{"Main Economic Indicators",#N/A,FALSE,"C"}</definedName>
    <definedName name="E_2014">#REF!</definedName>
    <definedName name="EATbis" localSheetId="21">'[146]EAT extract'!$B$7:$K$201</definedName>
    <definedName name="EATbis">'[147]EAT extract'!$B$7:$K$201</definedName>
    <definedName name="Economic_assumptions">[93]Control!$D$8:$D$11</definedName>
    <definedName name="ecyrt">{#N/A,#N/A,FALSE,"EXTDEBT"}</definedName>
    <definedName name="ed">'[148]Imp:DSA output'!$I$9:$I$464</definedName>
    <definedName name="edition">[149]arrtrsr!$AN$6</definedName>
    <definedName name="EDMS">'[87]Output - Submit'!$C$19</definedName>
    <definedName name="EDNA">#N/A</definedName>
    <definedName name="edr" localSheetId="21" hidden="1">{"Riqfin97",#N/A,FALSE,"Tran";"Riqfinpro",#N/A,FALSE,"Tran"}</definedName>
    <definedName name="edr" localSheetId="1" hidden="1">{"Riqfin97",#N/A,FALSE,"Tran";"Riqfinpro",#N/A,FALSE,"Tran"}</definedName>
    <definedName name="edr" localSheetId="0" hidden="1">{"Riqfin97",#N/A,FALSE,"Tran";"Riqfinpro",#N/A,FALSE,"Tran"}</definedName>
    <definedName name="edr" hidden="1">{"Riqfin97",#N/A,FALSE,"Tran";"Riqfinpro",#N/A,FALSE,"Tran"}</definedName>
    <definedName name="EdssBatchRange">#REF!</definedName>
    <definedName name="ee" localSheetId="21" hidden="1">{"Tab1",#N/A,FALSE,"P";"Tab2",#N/A,FALSE,"P"}</definedName>
    <definedName name="ee" localSheetId="1" hidden="1">{"Tab1",#N/A,FALSE,"P";"Tab2",#N/A,FALSE,"P"}</definedName>
    <definedName name="ee" localSheetId="0" hidden="1">{"Tab1",#N/A,FALSE,"P";"Tab2",#N/A,FALSE,"P"}</definedName>
    <definedName name="ee" hidden="1">{"Tab1",#N/A,FALSE,"P";"Tab2",#N/A,FALSE,"P"}</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1" hidden="1">{"Tab1",#N/A,FALSE,"P";"Tab2",#N/A,FALSE,"P"}</definedName>
    <definedName name="eee" localSheetId="1" hidden="1">{"Tab1",#N/A,FALSE,"P";"Tab2",#N/A,FALSE,"P"}</definedName>
    <definedName name="eee" localSheetId="0" hidden="1">{"Tab1",#N/A,FALSE,"P";"Tab2",#N/A,FALSE,"P"}</definedName>
    <definedName name="eee" hidden="1">{"Tab1",#N/A,FALSE,"P";"Tab2",#N/A,FALSE,"P"}</definedName>
    <definedName name="eee.rvbn">{"Main Economic Indicators",#N/A,FALSE,"C"}</definedName>
    <definedName name="eeee" localSheetId="21" hidden="1">{"Riqfin97",#N/A,FALSE,"Tran";"Riqfinpro",#N/A,FALSE,"Tran"}</definedName>
    <definedName name="eeee" localSheetId="1" hidden="1">{"Riqfin97",#N/A,FALSE,"Tran";"Riqfinpro",#N/A,FALSE,"Tran"}</definedName>
    <definedName name="eeee" localSheetId="0" hidden="1">{"Riqfin97",#N/A,FALSE,"Tran";"Riqfinpro",#N/A,FALSE,"Tran"}</definedName>
    <definedName name="eeee" hidden="1">{"Riqfin97",#N/A,FALSE,"Tran";"Riqfinpro",#N/A,FALSE,"Tran"}</definedName>
    <definedName name="eeeee" localSheetId="21" hidden="1">{"Riqfin97",#N/A,FALSE,"Tran";"Riqfinpro",#N/A,FALSE,"Tran"}</definedName>
    <definedName name="eeeee" localSheetId="1" hidden="1">{"Riqfin97",#N/A,FALSE,"Tran";"Riqfinpro",#N/A,FALSE,"Tran"}</definedName>
    <definedName name="eeeee" localSheetId="0" hidden="1">{"Riqfin97",#N/A,FALSE,"Tran";"Riqfinpro",#N/A,FALSE,"Tran"}</definedName>
    <definedName name="eeeee" hidden="1">{"Riqfin97",#N/A,FALSE,"Tran";"Riqfinpro",#N/A,FALSE,"Tran"}</definedName>
    <definedName name="eeet">{"Main Economic Indicators",#N/A,FALSE,"C"}</definedName>
    <definedName name="EIB">[77]CIRRs!$C$61</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lectricity_58">'[51]9.3'!$A$62:$IV$62</definedName>
    <definedName name="elemprices">'[113]New CPI'!$B$124</definedName>
    <definedName name="EMETEL">#REF!</definedName>
    <definedName name="EMPTY">#REF!</definedName>
    <definedName name="ENDA">#N/A</definedName>
    <definedName name="Ende">[83]DB95Q!$CL$1:$CL$1429</definedName>
    <definedName name="Entgelt">#REF!</definedName>
    <definedName name="EquityFlowsTable">#REF!</definedName>
    <definedName name="er">{"Main Economic Indicators",#N/A,FALSE,"C"}</definedName>
    <definedName name="er56gjh">{"TRADE_COMP",#N/A,FALSE,"TAB23APP";"BOP",#N/A,FALSE,"TAB6";"DOT",#N/A,FALSE,"TAB24APP";"EXTDEBT",#N/A,FALSE,"TAB25APP"}</definedName>
    <definedName name="erg">{"Main Economic Indicators",#N/A,FALSE,"C"}</definedName>
    <definedName name="ergf">{"Main Economic Indicators",#N/A,FALSE,"C"}</definedName>
    <definedName name="ergferes1">#N/A</definedName>
    <definedName name="ergferger" localSheetId="21" hidden="1">{"Main Economic Indicators",#N/A,FALSE,"C"}</definedName>
    <definedName name="ergferger" localSheetId="1" hidden="1">{"Main Economic Indicators",#N/A,FALSE,"C"}</definedName>
    <definedName name="ergferger" localSheetId="0" hidden="1">{"Main Economic Indicators",#N/A,FALSE,"C"}</definedName>
    <definedName name="ergferger" hidden="1">{"Main Economic Indicators",#N/A,FALSE,"C"}</definedName>
    <definedName name="ergferger1">#N/A</definedName>
    <definedName name="ergferger2">{"Main Economic Indicators",#N/A,FALSE,"C"}</definedName>
    <definedName name="ergferges">#N/A</definedName>
    <definedName name="ert" localSheetId="21" hidden="1">{"Minpmon",#N/A,FALSE,"Monthinput"}</definedName>
    <definedName name="ert" localSheetId="1" hidden="1">{"Minpmon",#N/A,FALSE,"Monthinput"}</definedName>
    <definedName name="ert" localSheetId="0" hidden="1">{"Minpmon",#N/A,FALSE,"Monthinput"}</definedName>
    <definedName name="ert" hidden="1">{"Minpmon",#N/A,FALSE,"Monthinput"}</definedName>
    <definedName name="ERTI">[81]K6!$A$22:$IV$22</definedName>
    <definedName name="ERTIA">[81]K6!$A$38:$IV$38</definedName>
    <definedName name="ERTIN">[81]K6!$A$54:$IV$54</definedName>
    <definedName name="erty" localSheetId="21" hidden="1">{"Riqfin97",#N/A,FALSE,"Tran";"Riqfinpro",#N/A,FALSE,"Tran"}</definedName>
    <definedName name="erty" localSheetId="1" hidden="1">{"Riqfin97",#N/A,FALSE,"Tran";"Riqfinpro",#N/A,FALSE,"Tran"}</definedName>
    <definedName name="erty" localSheetId="0" hidden="1">{"Riqfin97",#N/A,FALSE,"Tran";"Riqfinpro",#N/A,FALSE,"Tran"}</definedName>
    <definedName name="erty" hidden="1">{"Riqfin97",#N/A,FALSE,"Tran";"Riqfinpro",#N/A,FALSE,"Tran"}</definedName>
    <definedName name="ertyyeawet" hidden="1">'[31]Time series'!#REF!</definedName>
    <definedName name="erwre" localSheetId="21" hidden="1">{"'Resources'!$A$1:$W$34","'Balance Sheet'!$A$1:$W$58","'SFD'!$A$1:$J$52"}</definedName>
    <definedName name="erwre" localSheetId="1" hidden="1">{"'Resources'!$A$1:$W$34","'Balance Sheet'!$A$1:$W$58","'SFD'!$A$1:$J$52"}</definedName>
    <definedName name="erwre" localSheetId="0" hidden="1">{"'Resources'!$A$1:$W$34","'Balance Sheet'!$A$1:$W$58","'SFD'!$A$1:$J$52"}</definedName>
    <definedName name="erwre" hidden="1">{"'Resources'!$A$1:$W$34","'Balance Sheet'!$A$1:$W$58","'SFD'!$A$1:$J$52"}</definedName>
    <definedName name="erwt">{"Main Economic Indicators",#N/A,FALSE,"C"}</definedName>
    <definedName name="es">'[148]Imp:DSA output'!$B$9:$F$464</definedName>
    <definedName name="EstGdpGr">[89]GDPprj!$A$1:$K$109</definedName>
    <definedName name="Estonia">#REF!</definedName>
    <definedName name="Estonia__Selected_Indicators__1998_2002">'[150]Data Fiscal'!#REF!</definedName>
    <definedName name="ESÜT">[81]K9!$A$9:$IV$9</definedName>
    <definedName name="EU">[77]CIRRs!$C$62</definedName>
    <definedName name="EUR">[77]CIRRs!$C$87</definedName>
    <definedName name="Euro">[94]SpotExchangeRates!#REF!</definedName>
    <definedName name="eutab1">#REF!</definedName>
    <definedName name="ewqr" localSheetId="21" hidden="1">[43]Data!#REF!</definedName>
    <definedName name="ewqr" localSheetId="1" hidden="1">[43]Data!#REF!</definedName>
    <definedName name="ewqr" localSheetId="0" hidden="1">[43]Data!#REF!</definedName>
    <definedName name="ewqr" hidden="1">[43]Data!#REF!</definedName>
    <definedName name="ewrpoigagoiajflsidj">{"macroa",#N/A,FALSE,"Macro";"suma2",#N/A,FALSE,"Data";"suma3",#N/A,FALSE,"Data";"suma4",#N/A,FALSE,"Data";"suma5",#N/A,FALSE,"Data";"suma6",#N/A,FALSE,"Data";"suma7",#N/A,FALSE,"Data";"suma8",#N/A,FALSE,"Data";"suma9",#N/A,FALSE,"Data"}</definedName>
    <definedName name="Exchange_Fluctuation_Reserve_1.9">'[51]9.1'!#REF!</definedName>
    <definedName name="Exchange_rates">[103]assmpts!$A$131:$O$144</definedName>
    <definedName name="excises">#REF!</definedName>
    <definedName name="ExIm">#REF!</definedName>
    <definedName name="ExitWRS">[151]Main!$AB$25</definedName>
    <definedName name="exp">[152]exports!#REF!,[152]exports!#REF!,[152]exports!#REF!</definedName>
    <definedName name="Expenses_not_Written_off_11.">'[51]9.1'!#REF!</definedName>
    <definedName name="Expenses_Total">'[51]9.2'!$A$53:$IV$53</definedName>
    <definedName name="Export">#REF!</definedName>
    <definedName name="export2">#REF!</definedName>
    <definedName name="exports">[103]exports!$A$1:$X$66</definedName>
    <definedName name="expreal">[153]Contents!$A$280,[153]Contents!$S$324,[153]Contents!$A$280:$S$324</definedName>
    <definedName name="extaxrev">#REF!</definedName>
    <definedName name="extaxrev2">#REF!</definedName>
    <definedName name="extaxrev3">#REF!</definedName>
    <definedName name="External_Debt_and_Debt_Service">'[106]DMX Metadata Values'!$H$4:$H$6</definedName>
    <definedName name="External_debt_indicators">#N/A</definedName>
    <definedName name="External_Trade">'[106]DMX Metadata Values'!$I$4</definedName>
    <definedName name="ExtIn">[89]IN!$A$1:$K$72</definedName>
    <definedName name="ExtOut">[89]OUT!$A$1:$K$25</definedName>
    <definedName name="Extraordinary_Expenses_9.">'[51]9.2'!$A$49:$IV$49</definedName>
    <definedName name="ExtW">'[127]W&amp;T'!$C$16</definedName>
    <definedName name="f" localSheetId="1" hidden="1">{"Main Economic Indicators",#N/A,FALSE,"C"}</definedName>
    <definedName name="f" localSheetId="0" hidden="1">{"Main Economic Indicators",#N/A,FALSE,"C"}</definedName>
    <definedName name="F">#REF!</definedName>
    <definedName name="fabien">{"Main Economic Indicators",#N/A,FALSE,"C"}</definedName>
    <definedName name="FCode" localSheetId="21" hidden="1">#REF!</definedName>
    <definedName name="FCode" hidden="1">#REF!</definedName>
    <definedName name="FDI">#REF!</definedName>
    <definedName name="FDICoun">#REF!</definedName>
    <definedName name="fds">#REF!</definedName>
    <definedName name="fed" localSheetId="21" hidden="1">{"Riqfin97",#N/A,FALSE,"Tran";"Riqfinpro",#N/A,FALSE,"Tran"}</definedName>
    <definedName name="fed" localSheetId="1" hidden="1">{"Riqfin97",#N/A,FALSE,"Tran";"Riqfinpro",#N/A,FALSE,"Tran"}</definedName>
    <definedName name="fed" localSheetId="0" hidden="1">{"Riqfin97",#N/A,FALSE,"Tran";"Riqfinpro",#N/A,FALSE,"Tran"}</definedName>
    <definedName name="fed" hidden="1">{"Riqfin97",#N/A,FALSE,"Tran";"Riqfinpro",#N/A,FALSE,"Tran"}</definedName>
    <definedName name="fer" localSheetId="21" hidden="1">{"Riqfin97",#N/A,FALSE,"Tran";"Riqfinpro",#N/A,FALSE,"Tran"}</definedName>
    <definedName name="fer" localSheetId="1" hidden="1">{"Riqfin97",#N/A,FALSE,"Tran";"Riqfinpro",#N/A,FALSE,"Tran"}</definedName>
    <definedName name="fer" localSheetId="0" hidden="1">{"Riqfin97",#N/A,FALSE,"Tran";"Riqfinpro",#N/A,FALSE,"Tran"}</definedName>
    <definedName name="fer" hidden="1">{"Riqfin97",#N/A,FALSE,"Tran";"Riqfinpro",#N/A,FALSE,"Tran"}</definedName>
    <definedName name="ff" localSheetId="21" hidden="1">{"Tab1",#N/A,FALSE,"P";"Tab2",#N/A,FALSE,"P"}</definedName>
    <definedName name="ff" localSheetId="1" hidden="1">{"Tab1",#N/A,FALSE,"P";"Tab2",#N/A,FALSE,"P"}</definedName>
    <definedName name="ff" localSheetId="0" hidden="1">{"Tab1",#N/A,FALSE,"P";"Tab2",#N/A,FALSE,"P"}</definedName>
    <definedName name="ff" hidden="1">{"Tab1",#N/A,FALSE,"P";"Tab2",#N/A,FALSE,"P"}</definedName>
    <definedName name="fff" localSheetId="21" hidden="1">{"Tab1",#N/A,FALSE,"P";"Tab2",#N/A,FALSE,"P"}</definedName>
    <definedName name="fff" localSheetId="1" hidden="1">{"Tab1",#N/A,FALSE,"P";"Tab2",#N/A,FALSE,"P"}</definedName>
    <definedName name="fff" localSheetId="0" hidden="1">{"Tab1",#N/A,FALSE,"P";"Tab2",#N/A,FALSE,"P"}</definedName>
    <definedName name="fff" hidden="1">{"Tab1",#N/A,FALSE,"P";"Tab2",#N/A,FALSE,"P"}</definedName>
    <definedName name="ffff" localSheetId="21" hidden="1">{"Riqfin97",#N/A,FALSE,"Tran";"Riqfinpro",#N/A,FALSE,"Tran"}</definedName>
    <definedName name="ffff" localSheetId="1" hidden="1">{"Riqfin97",#N/A,FALSE,"Tran";"Riqfinpro",#N/A,FALSE,"Tran"}</definedName>
    <definedName name="ffff" localSheetId="0" hidden="1">{"Riqfin97",#N/A,FALSE,"Tran";"Riqfinpro",#N/A,FALSE,"Tran"}</definedName>
    <definedName name="ffff" hidden="1">{"Riqfin97",#N/A,FALSE,"Tran";"Riqfinpro",#N/A,FALSE,"Tran"}</definedName>
    <definedName name="fffff" hidden="1">[154]G!#REF!</definedName>
    <definedName name="fffff4" localSheetId="21" hidden="1">#REF!</definedName>
    <definedName name="fffff4" hidden="1">#REF!</definedName>
    <definedName name="ffffff" localSheetId="21" hidden="1">{"Tab1",#N/A,FALSE,"P";"Tab2",#N/A,FALSE,"P"}</definedName>
    <definedName name="ffffff" localSheetId="1" hidden="1">{"Tab1",#N/A,FALSE,"P";"Tab2",#N/A,FALSE,"P"}</definedName>
    <definedName name="ffffff" localSheetId="0" hidden="1">{"Tab1",#N/A,FALSE,"P";"Tab2",#N/A,FALSE,"P"}</definedName>
    <definedName name="ffffff" hidden="1">{"Tab1",#N/A,FALSE,"P";"Tab2",#N/A,FALSE,"P"}</definedName>
    <definedName name="fffffff" localSheetId="21" hidden="1">{"Minpmon",#N/A,FALSE,"Monthinput"}</definedName>
    <definedName name="fffffff" localSheetId="1" hidden="1">{"Minpmon",#N/A,FALSE,"Monthinput"}</definedName>
    <definedName name="fffffff" localSheetId="0" hidden="1">{"Minpmon",#N/A,FALSE,"Monthinput"}</definedName>
    <definedName name="fffffff" hidden="1">{"Minpmon",#N/A,FALSE,"Monthinput"}</definedName>
    <definedName name="fffffft">{"Main Economic Indicators",#N/A,FALSE,"C"}</definedName>
    <definedName name="ffggg" localSheetId="21" hidden="1">{"Tab1",#N/A,FALSE,"P";"Tab2",#N/A,FALSE,"P"}</definedName>
    <definedName name="ffggg" localSheetId="1" hidden="1">{"Tab1",#N/A,FALSE,"P";"Tab2",#N/A,FALSE,"P"}</definedName>
    <definedName name="ffggg" localSheetId="0" hidden="1">{"Tab1",#N/A,FALSE,"P";"Tab2",#N/A,FALSE,"P"}</definedName>
    <definedName name="ffggg" hidden="1">{"Tab1",#N/A,FALSE,"P";"Tab2",#N/A,FALSE,"P"}</definedName>
    <definedName name="fgf" localSheetId="21" hidden="1">{"Riqfin97",#N/A,FALSE,"Tran";"Riqfinpro",#N/A,FALSE,"Tran"}</definedName>
    <definedName name="fgf" localSheetId="1" hidden="1">{"Riqfin97",#N/A,FALSE,"Tran";"Riqfinpro",#N/A,FALSE,"Tran"}</definedName>
    <definedName name="fgf" localSheetId="0" hidden="1">{"Riqfin97",#N/A,FALSE,"Tran";"Riqfinpro",#N/A,FALSE,"Tran"}</definedName>
    <definedName name="fgf" hidden="1">{"Riqfin97",#N/A,FALSE,"Tran";"Riqfinpro",#N/A,FALSE,"Tran"}</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1" hidden="1">{"Main Economic Indicators",#N/A,FALSE,"C"}</definedName>
    <definedName name="fhjekwf" localSheetId="1" hidden="1">{"Main Economic Indicators",#N/A,FALSE,"C"}</definedName>
    <definedName name="fhjekwf" localSheetId="0" hidden="1">{"Main Economic Indicators",#N/A,FALSE,"C"}</definedName>
    <definedName name="fhjekwf" hidden="1">{"Main Economic Indicators",#N/A,FALSE,"C"}</definedName>
    <definedName name="FIDR">#REF!</definedName>
    <definedName name="FieldCosts">[78]ProjectCashflow!$F$123</definedName>
    <definedName name="FieldName">[78]Control!$D$4</definedName>
    <definedName name="FieldSize">[78]ProjectCashflow!$B$91</definedName>
    <definedName name="FIG2wp1" localSheetId="21" hidden="1">#REF!</definedName>
    <definedName name="FIG2wp1" hidden="1">#REF!</definedName>
    <definedName name="FIGB">#REF!</definedName>
    <definedName name="Figure04">'[155]Figure 4'!$A$14:$DL$269</definedName>
    <definedName name="fill">'[156]Macroframework-Ver.1'!$A$1:$A$267</definedName>
    <definedName name="Filters" localSheetId="2">OFFSET(#REF!,,,COUNTA(#REF!),COUNTA(#REF!)-3)</definedName>
    <definedName name="Filters">OFFSET(#REF!,,,COUNTA(#REF!),COUNTA(#REF!)-3)</definedName>
    <definedName name="finan">#REF!</definedName>
    <definedName name="finan1">#REF!</definedName>
    <definedName name="Finance__Insurance_and_Real_Estate_93">'[51]9.3'!$A$97:$IV$97</definedName>
    <definedName name="Financial_Indicators">'[106]DMX Metadata Values'!$J$4:$J$15</definedName>
    <definedName name="Financial_sector">#REF!</definedName>
    <definedName name="Financing" localSheetId="21" hidden="1">{"Tab1",#N/A,FALSE,"P";"Tab2",#N/A,FALSE,"P"}</definedName>
    <definedName name="Financing" localSheetId="1" hidden="1">{"Tab1",#N/A,FALSE,"P";"Tab2",#N/A,FALSE,"P"}</definedName>
    <definedName name="Financing" localSheetId="0" hidden="1">{"Tab1",#N/A,FALSE,"P";"Tab2",#N/A,FALSE,"P"}</definedName>
    <definedName name="Financing" hidden="1">{"Tab1",#N/A,FALSE,"P";"Tab2",#N/A,FALSE,"P"}</definedName>
    <definedName name="find.this2">{"macroa",#N/A,FALSE,"Macro";"suma2",#N/A,FALSE,"Data";"suma3",#N/A,FALSE,"Data";"suma4",#N/A,FALSE,"Data";"suma5",#N/A,FALSE,"Data";"suma6",#N/A,FALSE,"Data";"suma7",#N/A,FALSE,"Data";"suma8",#N/A,FALSE,"Data";"suma9",#N/A,FALSE,"Data"}</definedName>
    <definedName name="findthis">{"mt1",#N/A,FALSE,"Debt";"mt2",#N/A,FALSE,"Debt";"mt3",#N/A,FALSE,"Debt";"mt4",#N/A,FALSE,"Debt";"mt5",#N/A,FALSE,"Debt";"mt6",#N/A,FALSE,"Debt";"mt7",#N/A,FALSE,"Debt"}</definedName>
    <definedName name="Finished_products_output">[93]Production!$L$159:$AY$163</definedName>
    <definedName name="finished_products_prices">[93]Prices!$L$105:$AY$109</definedName>
    <definedName name="Finland">#REF!</definedName>
    <definedName name="FinW">'[127]W&amp;T'!$C$18</definedName>
    <definedName name="FirstYear_of_Projection">'[87]Output - Submit'!$C$9</definedName>
    <definedName name="Fisc_to_Bop">[103]In_sys!$Q$54:$AO$70</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'[106]DMX Metadata Values'!$B$2:$B$5</definedName>
    <definedName name="fishvol">[103]assmpts!$F$27:$M$28</definedName>
    <definedName name="FISUM">#REF!</definedName>
    <definedName name="Fixed_Assets_8">'[51]9.4'!$A$12:$IV$12</definedName>
    <definedName name="Fixed_Assets_9.">'[51]9.1'!#REF!</definedName>
    <definedName name="Fixed_Deposit_Receipts_4">'[51]9.4'!$A$8:$IV$8</definedName>
    <definedName name="FLOPEC">#REF!</definedName>
    <definedName name="flows">#REF!</definedName>
    <definedName name="flows_print_area">'[156]Balance Sheet'!$A$1:$N$1</definedName>
    <definedName name="FMB">'[91]Output WEO'!#REF!</definedName>
    <definedName name="FODESEC">#REF!</definedName>
    <definedName name="Forcurr">#REF!</definedName>
    <definedName name="ForecastYear">[78]ProjectCashflow!$E$5:$BF$5</definedName>
    <definedName name="Foreign_Banks___Fianncial_Instutions_2.3.2.2">'[51]9.1'!#REF!</definedName>
    <definedName name="Foreign_Bills_28">'[51]9.4'!$A$32:$IV$32</definedName>
    <definedName name="Foreign_Bills_Purchased_7.2">'[51]9.1'!#REF!</definedName>
    <definedName name="Foreign_Bonds_1.2.2">'[51]9.2'!$A$59:$IV$59</definedName>
    <definedName name="Foreign_Currency_1.2">'[51]9.1'!#REF!</definedName>
    <definedName name="Foreign_Currency_3.1.2">'[51]9.1'!#REF!</definedName>
    <definedName name="Foreign_Currency_3.2">'[51]9.1'!#REF!</definedName>
    <definedName name="Foreign_Currency_3.2.2">'[51]9.1'!#REF!</definedName>
    <definedName name="Foreign_Currency_3.3.2">'[51]9.1'!#REF!</definedName>
    <definedName name="Foreign_Currency_3.4.2">'[51]9.1'!#REF!</definedName>
    <definedName name="Foreign_Currency_3.6.2">'[51]9.1'!#REF!</definedName>
    <definedName name="Foreign_liabilities">#REF!</definedName>
    <definedName name="Formatting" localSheetId="2">#REF!</definedName>
    <definedName name="Formatting">#REF!</definedName>
    <definedName name="fr">'[148]Imp:DSA output'!$S$9:$IG$464</definedName>
    <definedName name="FRAME">'[89]MT-SCENA'!$A$65:$N$123</definedName>
    <definedName name="France">#REF!</definedName>
    <definedName name="fre" localSheetId="21" hidden="1">{"Tab1",#N/A,FALSE,"P";"Tab2",#N/A,FALSE,"P"}</definedName>
    <definedName name="fre" localSheetId="1" hidden="1">{"Tab1",#N/A,FALSE,"P";"Tab2",#N/A,FALSE,"P"}</definedName>
    <definedName name="fre" localSheetId="0" hidden="1">{"Tab1",#N/A,FALSE,"P";"Tab2",#N/A,FALSE,"P"}</definedName>
    <definedName name="fre" hidden="1">{"Tab1",#N/A,FALSE,"P";"Tab2",#N/A,FALSE,"P"}</definedName>
    <definedName name="fsa">'[157]Money-M'!#REF!</definedName>
    <definedName name="FSBS">[81]K9!$A$31:$IV$31</definedName>
    <definedName name="fshrts" hidden="1">[16]WB!$Q$255:$AK$255</definedName>
    <definedName name="ftr" localSheetId="21" hidden="1">{"Riqfin97",#N/A,FALSE,"Tran";"Riqfinpro",#N/A,FALSE,"Tran"}</definedName>
    <definedName name="ftr" localSheetId="1" hidden="1">{"Riqfin97",#N/A,FALSE,"Tran";"Riqfinpro",#N/A,FALSE,"Tran"}</definedName>
    <definedName name="ftr" localSheetId="0" hidden="1">{"Riqfin97",#N/A,FALSE,"Tran";"Riqfinpro",#N/A,FALSE,"Tran"}</definedName>
    <definedName name="ftr" hidden="1">{"Riqfin97",#N/A,FALSE,"Tran";"Riqfinpro",#N/A,FALSE,"Tran"}</definedName>
    <definedName name="fty" localSheetId="21" hidden="1">{"Riqfin97",#N/A,FALSE,"Tran";"Riqfinpro",#N/A,FALSE,"Tran"}</definedName>
    <definedName name="fty" localSheetId="1" hidden="1">{"Riqfin97",#N/A,FALSE,"Tran";"Riqfinpro",#N/A,FALSE,"Tran"}</definedName>
    <definedName name="fty" localSheetId="0" hidden="1">{"Riqfin97",#N/A,FALSE,"Tran";"Riqfinpro",#N/A,FALSE,"Tran"}</definedName>
    <definedName name="fty" hidden="1">{"Riqfin97",#N/A,FALSE,"Tran";"Riqfinpro",#N/A,FALSE,"Tran"}</definedName>
    <definedName name="fuck" hidden="1">#REF!</definedName>
    <definedName name="FULL">[69]Survey!$A$1:$BQ$151</definedName>
    <definedName name="FullTable">OFFSET([143]FILTER!$A$5,0,0,COUNTA([143]FILTER!$A$1:$A$65536)-2,9)</definedName>
    <definedName name="FUNHOLD">#REF!</definedName>
    <definedName name="g">#REF!</definedName>
    <definedName name="g_ADV">[158]MAIN!$AO$1</definedName>
    <definedName name="g_EME">[158]MAIN!$AO$8</definedName>
    <definedName name="GA__Class_License_Institutions_6.1.1.3">'[51]9.1'!#REF!</definedName>
    <definedName name="GA__Class_License_Institutions_6.1.2.3">'[51]9.1'!#REF!</definedName>
    <definedName name="GasPrice">[159]Control!$D$22</definedName>
    <definedName name="GasPriceLimitYears">[78]Control!$D$30</definedName>
    <definedName name="GasPriceMaxOil">[78]Control!$D$28</definedName>
    <definedName name="GasPriceMinOil">[78]Control!$D$29</definedName>
    <definedName name="GasPriceProportionOil">[78]Control!$D$25</definedName>
    <definedName name="GB_PR">#REF!</definedName>
    <definedName name="gbnj" localSheetId="21" hidden="1">{"Tab1",#N/A,FALSE,"P";"Tab2",#N/A,FALSE,"P"}</definedName>
    <definedName name="gbnj" localSheetId="1" hidden="1">{"Tab1",#N/A,FALSE,"P";"Tab2",#N/A,FALSE,"P"}</definedName>
    <definedName name="gbnj" localSheetId="0" hidden="1">{"Tab1",#N/A,FALSE,"P";"Tab2",#N/A,FALSE,"P"}</definedName>
    <definedName name="gbnj" hidden="1">{"Tab1",#N/A,FALSE,"P";"Tab2",#N/A,FALSE,"P"}</definedName>
    <definedName name="GCB">'[91]Output WEO'!#REF!</definedName>
    <definedName name="GCB_NGDP">#N/A</definedName>
    <definedName name="GCEC">'[91]Output WEO'!#REF!</definedName>
    <definedName name="GCEEP">'[92]AFR -WETA DAta'!#REF!</definedName>
    <definedName name="GCEHP">'[92]AFR -WETA DAta'!#REF!</definedName>
    <definedName name="GCEI">'[91]Output WEO'!#REF!</definedName>
    <definedName name="GCENL">'[91]Output WEO'!#REF!</definedName>
    <definedName name="GCG">'[92]AFR -WETA DAta'!#REF!</definedName>
    <definedName name="GCGC">'[92]AFR -WETA DAta'!#REF!</definedName>
    <definedName name="GCND">'[91]Output WEO'!#REF!</definedName>
    <definedName name="GCND_NGDP">'[91]Output WEO'!#REF!</definedName>
    <definedName name="GCRG">'[91]Output WEO'!#REF!</definedName>
    <definedName name="GCXCNL">#REF!</definedName>
    <definedName name="GCXCNL_GDP">#REF!</definedName>
    <definedName name="GDE">'[89]GDE-cur'!$A$1:$K$92</definedName>
    <definedName name="gdp">[160]IN!$C$22:$X$22</definedName>
    <definedName name="GDP_R">[65]KWT!$F$1:$R$62</definedName>
    <definedName name="GDPCO">'[89]GDP-real'!$A$1:$M$107</definedName>
    <definedName name="GDPCU">'[89]GDP-curr'!$A$1:$J$74</definedName>
    <definedName name="gdpr">[65]OMN!$C$37:$Y$37</definedName>
    <definedName name="gdpredss">[65]KWT!$A$1:$S$69</definedName>
    <definedName name="ge">{"macro",#N/A,FALSE,"Macro";"smq2",#N/A,FALSE,"Data";"smq3",#N/A,FALSE,"Data";"smq4",#N/A,FALSE,"Data";"smq5",#N/A,FALSE,"Data";"smq6",#N/A,FALSE,"Data";"smq7",#N/A,FALSE,"Data";"smq8",#N/A,FALSE,"Data";"smq9",#N/A,FALSE,"Data"}</definedName>
    <definedName name="general">[103]assmpts!$A$1:$X$192</definedName>
    <definedName name="General_Loan_loss_Provision_7.1.1">'[51]9.2'!$A$35:$IV$35</definedName>
    <definedName name="General_Reserve_1.4">'[51]9.1'!#REF!</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d">{"mt1",#N/A,FALSE,"Debt";"mt2",#N/A,FALSE,"Debt";"mt3",#N/A,FALSE,"Debt";"mt4",#N/A,FALSE,"Debt";"mt5",#N/A,FALSE,"Debt";"mt6",#N/A,FALSE,"Debt";"mt7",#N/A,FALSE,"Debt"}</definedName>
    <definedName name="gffd" localSheetId="21" hidden="1">{"Riqfin97",#N/A,FALSE,"Tran";"Riqfinpro",#N/A,FALSE,"Tran"}</definedName>
    <definedName name="gffd" localSheetId="1" hidden="1">{"Riqfin97",#N/A,FALSE,"Tran";"Riqfinpro",#N/A,FALSE,"Tran"}</definedName>
    <definedName name="gffd" localSheetId="0" hidden="1">{"Riqfin97",#N/A,FALSE,"Tran";"Riqfinpro",#N/A,FALSE,"Tran"}</definedName>
    <definedName name="gffd" hidden="1">{"Riqfin97",#N/A,FALSE,"Tran";"Riqfinpro",#N/A,FALSE,"Tran"}</definedName>
    <definedName name="gg" localSheetId="21" hidden="1">{"TBILLS_ALL",#N/A,FALSE,"FITB_all"}</definedName>
    <definedName name="gg" localSheetId="1" hidden="1">{"TBILLS_ALL",#N/A,FALSE,"FITB_all"}</definedName>
    <definedName name="gg" localSheetId="0"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'[91]Output WEO'!#REF!</definedName>
    <definedName name="GGB_NGDP">#N/A</definedName>
    <definedName name="GGCB">#REF!</definedName>
    <definedName name="GGDS">#REF!</definedName>
    <definedName name="GGE">#REF!</definedName>
    <definedName name="GGEC">'[91]Output WEO'!#REF!</definedName>
    <definedName name="GGECE">#REF!</definedName>
    <definedName name="GGED">'[91]Output WEO'!#REF!</definedName>
    <definedName name="GGED_NGDP">'[91]Output WEO'!#REF!</definedName>
    <definedName name="GGEEC">#REF!</definedName>
    <definedName name="GGEGS">#REF!</definedName>
    <definedName name="GGEI">#REF!</definedName>
    <definedName name="GGENL">'[91]Output WEO'!#REF!</definedName>
    <definedName name="GGEO">#REF!</definedName>
    <definedName name="GGES">#REF!</definedName>
    <definedName name="GGESS">#REF!</definedName>
    <definedName name="GGFO">#REF!</definedName>
    <definedName name="ggg" localSheetId="21" hidden="1">{"Riqfin97",#N/A,FALSE,"Tran";"Riqfinpro",#N/A,FALSE,"Tran"}</definedName>
    <definedName name="ggg" localSheetId="1" hidden="1">{"Riqfin97",#N/A,FALSE,"Tran";"Riqfinpro",#N/A,FALSE,"Tran"}</definedName>
    <definedName name="ggg" localSheetId="0" hidden="1">{"Riqfin97",#N/A,FALSE,"Tran";"Riqfinpro",#N/A,FALSE,"Tran"}</definedName>
    <definedName name="ggg" hidden="1">{"Riqfin97",#N/A,FALSE,"Tran";"Riqfinpro",#N/A,FALSE,"Tran"}</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21" hidden="1">{"Minpmon",#N/A,FALSE,"Monthinput"}</definedName>
    <definedName name="gggg" localSheetId="1" hidden="1">{"Minpmon",#N/A,FALSE,"Monthinput"}</definedName>
    <definedName name="gggg" localSheetId="0" hidden="1">{"Minpmon",#N/A,FALSE,"Monthinput"}</definedName>
    <definedName name="gggg" hidden="1">{"Minpmon",#N/A,FALSE,"Monthinput"}</definedName>
    <definedName name="ggggg" hidden="1">'[161]J(Priv.Cap)'!#REF!</definedName>
    <definedName name="gggggggg" localSheetId="21" hidden="1">{"Tab1",#N/A,FALSE,"P";"Tab2",#N/A,FALSE,"P"}</definedName>
    <definedName name="gggggggg" localSheetId="1" hidden="1">{"Tab1",#N/A,FALSE,"P";"Tab2",#N/A,FALSE,"P"}</definedName>
    <definedName name="gggggggg" localSheetId="0" hidden="1">{"Tab1",#N/A,FALSE,"P";"Tab2",#N/A,FALSE,"P"}</definedName>
    <definedName name="gggggggg" hidden="1">{"Tab1",#N/A,FALSE,"P";"Tab2",#N/A,FALSE,"P"}</definedName>
    <definedName name="gggggw" localSheetId="21" hidden="1">{"'보고양식'!$A$58:$K$111"}</definedName>
    <definedName name="gggggw" hidden="1">{"'보고양식'!$A$58:$K$111"}</definedName>
    <definedName name="GGND">'[91]Output WEO'!#REF!</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TRUE,TRUE,-0.5,-14.75,603,365.25,FALSE,TRUE,TRUE,TRUE,0,1,#N/A,1,#N/A,35.1857142857143,25.2777777777778,1,FALSE,FALSE,3,TRUE,1,FALSE,100,"Swvu.a.","ACwvu.a.",#N/A,FALSE,FALSE,0.75,0.5,0.5,0.75,1,"","",FALSE,FALSE,FALSE,FALSE,1,#N/A,1,1,"=R20C2:R127C52",FALSE,"Rwvu.a.","Cwvu.a.",FALSE,FALSE,FALSE,1,300,300,FALSE,FALSE,TRUE,TRUE,TRUE}</definedName>
    <definedName name="GHA__Class_License_Institutions__Bonds_4.3">'[51]9.1'!#REF!</definedName>
    <definedName name="GHA__Class_License_Institutions_10.1.2.1.1.1">'[51]9.1'!#REF!</definedName>
    <definedName name="GHA__Class_License_Institutions_6.1.1.4">'[51]9.1'!#REF!</definedName>
    <definedName name="GHANA">0.276816609</definedName>
    <definedName name="ght" localSheetId="21" hidden="1">{"Tab1",#N/A,FALSE,"P";"Tab2",#N/A,FALSE,"P"}</definedName>
    <definedName name="ght" localSheetId="1" hidden="1">{"Tab1",#N/A,FALSE,"P";"Tab2",#N/A,FALSE,"P"}</definedName>
    <definedName name="ght" localSheetId="0" hidden="1">{"Tab1",#N/A,FALSE,"P";"Tab2",#N/A,FALSE,"P"}</definedName>
    <definedName name="ght" hidden="1">{"Tab1",#N/A,FALSE,"P";"Tab2",#N/A,FALSE,"P"}</definedName>
    <definedName name="giuih">{"macroa",#N/A,FALSE,"Macro";"suma2",#N/A,FALSE,"Data";"suma3",#N/A,FALSE,"Data";"suma4",#N/A,FALSE,"Data";"suma5",#N/A,FALSE,"Data";"suma6",#N/A,FALSE,"Data";"suma7",#N/A,FALSE,"Data";"suma8",#N/A,FALSE,"Data";"suma9",#N/A,FALSE,"Data"}</definedName>
    <definedName name="GKV">[81]K9!$A$39:$IV$39</definedName>
    <definedName name="GKVA">[81]K12!$A$41:$IV$41</definedName>
    <definedName name="GKVN">[81]K12!$A$42:$IV$42</definedName>
    <definedName name="GNPC">0.723183391</definedName>
    <definedName name="Gold_and_Silver_1">'[51]9.4'!$A$5:$IV$5</definedName>
    <definedName name="Goodwill_10.10">'[51]9.1'!#REF!</definedName>
    <definedName name="gotomain">[0]!gotomain</definedName>
    <definedName name="gotomain2">[0]!gotomain2</definedName>
    <definedName name="gotomain3">[0]!gotomain3</definedName>
    <definedName name="gov_payscale">#REF!</definedName>
    <definedName name="gov_wagebill">#REF!</definedName>
    <definedName name="Government_and_Public_Sector_Finance">'[106]DMX Metadata Values'!$K$4:$K$20</definedName>
    <definedName name="Government_Bonds_1.2.1">'[51]9.2'!$A$58:$IV$58</definedName>
    <definedName name="Government_Guarantee_34">'[51]9.4'!$A$38:$IV$38</definedName>
    <definedName name="Government_Non_Financial_Corporations_6.1.1.10">'[51]9.1'!#REF!</definedName>
    <definedName name="Government_Non_Financial_institutions_6.1.2.5">'[51]9.1'!#REF!</definedName>
    <definedName name="Government_Securities_10.1.1.1">'[51]9.1'!#REF!</definedName>
    <definedName name="Government_Securities_2">'[51]9.4'!$A$6:$IV$6</definedName>
    <definedName name="Govt._Non_Financial_Institutions_10.1.2.1.1.6">'[51]9.1'!#REF!</definedName>
    <definedName name="Govt_Budget_GASC">#REF!</definedName>
    <definedName name="Govt_Budget_GASC_NIB">#REF!</definedName>
    <definedName name="GPfV">[81]K9!$A$42:$IV$42</definedName>
    <definedName name="GRA_Total_Undrawn">'[162]Table 2a'!#REF!</definedName>
    <definedName name="Grace_IDA">[87]PV_Base!$B$22</definedName>
    <definedName name="Grace_NC">[103]Triangles!$H$739</definedName>
    <definedName name="grades">#REF!</definedName>
    <definedName name="Graph">#REF!</definedName>
    <definedName name="gre" localSheetId="21" hidden="1">{"Riqfin97",#N/A,FALSE,"Tran";"Riqfinpro",#N/A,FALSE,"Tran"}</definedName>
    <definedName name="gre" localSheetId="1" hidden="1">{"Riqfin97",#N/A,FALSE,"Tran";"Riqfinpro",#N/A,FALSE,"Tran"}</definedName>
    <definedName name="gre" localSheetId="0" hidden="1">{"Riqfin97",#N/A,FALSE,"Tran";"Riqfinpro",#N/A,FALSE,"Tran"}</definedName>
    <definedName name="gre" hidden="1">{"Riqfin97",#N/A,FALSE,"Tran";"Riqfinpro",#N/A,FALSE,"Tran"}</definedName>
    <definedName name="Greece">#REF!</definedName>
    <definedName name="Gross_reserves">#REF!</definedName>
    <definedName name="groupings">#REF!</definedName>
    <definedName name="growth_rate_ADV">#REF!</definedName>
    <definedName name="growth_rate_EME">#REF!</definedName>
    <definedName name="GRV">[81]K9!$A$38:$IV$38</definedName>
    <definedName name="GSÜO">[81]K9!$A$15:$IV$15</definedName>
    <definedName name="GSÜT">[81]K9!$A$13:$IV$13</definedName>
    <definedName name="guyana1003" localSheetId="21" hidden="1">{"Main Economic Indicators",#N/A,FALSE,"C"}</definedName>
    <definedName name="guyana1003" localSheetId="1" hidden="1">{"Main Economic Indicators",#N/A,FALSE,"C"}</definedName>
    <definedName name="guyana1003" localSheetId="0" hidden="1">{"Main Economic Indicators",#N/A,FALSE,"C"}</definedName>
    <definedName name="guyana1003" hidden="1">{"Main Economic Indicators",#N/A,FALSE,"C"}</definedName>
    <definedName name="gy">{"macro",#N/A,FALSE,"Macro";"smq2",#N/A,FALSE,"Data";"smq3",#N/A,FALSE,"Data";"smq4",#N/A,FALSE,"Data";"smq5",#N/A,FALSE,"Data";"smq6",#N/A,FALSE,"Data";"smq7",#N/A,FALSE,"Data";"smq8",#N/A,FALSE,"Data";"smq9",#N/A,FALSE,"Data"}</definedName>
    <definedName name="gyu" localSheetId="21" hidden="1">{"Tab1",#N/A,FALSE,"P";"Tab2",#N/A,FALSE,"P"}</definedName>
    <definedName name="gyu" localSheetId="1" hidden="1">{"Tab1",#N/A,FALSE,"P";"Tab2",#N/A,FALSE,"P"}</definedName>
    <definedName name="gyu" localSheetId="0" hidden="1">{"Tab1",#N/A,FALSE,"P";"Tab2",#N/A,FALSE,"P"}</definedName>
    <definedName name="gyu" hidden="1">{"Tab1",#N/A,FALSE,"P";"Tab2",#N/A,FALSE,"P"}</definedName>
    <definedName name="HEADER">#REF!</definedName>
    <definedName name="Heading39">'[163]#REF'!$A$1:$G$5</definedName>
    <definedName name="Heatmap">"Heatmap"</definedName>
    <definedName name="hello">{#N/A,#N/A,FALSE,"CB";#N/A,#N/A,FALSE,"CMB";#N/A,#N/A,FALSE,"BSYS";#N/A,#N/A,FALSE,"NBFI";#N/A,#N/A,FALSE,"FSYS"}</definedName>
    <definedName name="HERE">#REF!</definedName>
    <definedName name="hfrstes" localSheetId="21" hidden="1">[16]ER!#REF!</definedName>
    <definedName name="hfrstes" hidden="1">[16]ER!#REF!</definedName>
    <definedName name="hfshfrt" hidden="1">[16]WB!$Q$62:$AK$62</definedName>
    <definedName name="hgfd" localSheetId="21" hidden="1">{#N/A,#N/A,FALSE,"I";#N/A,#N/A,FALSE,"J";#N/A,#N/A,FALSE,"K";#N/A,#N/A,FALSE,"L";#N/A,#N/A,FALSE,"M";#N/A,#N/A,FALSE,"N";#N/A,#N/A,FALSE,"O"}</definedName>
    <definedName name="hgfd" localSheetId="1" hidden="1">{#N/A,#N/A,FALSE,"I";#N/A,#N/A,FALSE,"J";#N/A,#N/A,FALSE,"K";#N/A,#N/A,FALSE,"L";#N/A,#N/A,FALSE,"M";#N/A,#N/A,FALSE,"N";#N/A,#N/A,FALSE,"O"}</definedName>
    <definedName name="hgfd" localSheetId="0" hidden="1">{#N/A,#N/A,FALSE,"I";#N/A,#N/A,FALSE,"J";#N/A,#N/A,FALSE,"K";#N/A,#N/A,FALSE,"L";#N/A,#N/A,FALSE,"M";#N/A,#N/A,FALSE,"N";#N/A,#N/A,FALSE,"O"}</definedName>
    <definedName name="hgfd" hidden="1">{#N/A,#N/A,FALSE,"I";#N/A,#N/A,FALSE,"J";#N/A,#N/A,FALSE,"K";#N/A,#N/A,FALSE,"L";#N/A,#N/A,FALSE,"M";#N/A,#N/A,FALSE,"N";#N/A,#N/A,FALSE,"O"}</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'[164]J(Priv.Cap)'!#REF!</definedName>
    <definedName name="hhhhh" localSheetId="21" hidden="1">{"Tab1",#N/A,FALSE,"P";"Tab2",#N/A,FALSE,"P"}</definedName>
    <definedName name="hhhhh" localSheetId="1" hidden="1">{"Tab1",#N/A,FALSE,"P";"Tab2",#N/A,FALSE,"P"}</definedName>
    <definedName name="hhhhh" localSheetId="0" hidden="1">{"Tab1",#N/A,FALSE,"P";"Tab2",#N/A,FALSE,"P"}</definedName>
    <definedName name="hhhhh" hidden="1">{"Tab1",#N/A,FALSE,"P";"Tab2",#N/A,FALSE,"P"}</definedName>
    <definedName name="HiddenRows" hidden="1">#REF!</definedName>
    <definedName name="hio" localSheetId="21" hidden="1">{"Tab1",#N/A,FALSE,"P";"Tab2",#N/A,FALSE,"P"}</definedName>
    <definedName name="hio" localSheetId="1" hidden="1">{"Tab1",#N/A,FALSE,"P";"Tab2",#N/A,FALSE,"P"}</definedName>
    <definedName name="hio" localSheetId="0" hidden="1">{"Tab1",#N/A,FALSE,"P";"Tab2",#N/A,FALSE,"P"}</definedName>
    <definedName name="hio" hidden="1">{"Tab1",#N/A,FALSE,"P";"Tab2",#N/A,FALSE,"P"}</definedName>
    <definedName name="HIPC">'[87]Data-Input'!$C$7</definedName>
    <definedName name="HIPC_Column">#REF!</definedName>
    <definedName name="HIPCStatus">'[87]Output - Submit'!$C$8</definedName>
    <definedName name="Hire_Purchase_Loan_35">'[51]9.3ka'!$A$39:$IV$39</definedName>
    <definedName name="Hist_DB">[165]Content!$K$2</definedName>
    <definedName name="HistDB">[166]DIR!$E$5</definedName>
    <definedName name="Histogram">"Histogram"</definedName>
    <definedName name="hj">#N/A</definedName>
    <definedName name="hjk" localSheetId="21" hidden="1">{"Riqfin97",#N/A,FALSE,"Tran";"Riqfinpro",#N/A,FALSE,"Tran"}</definedName>
    <definedName name="hjk" localSheetId="1" hidden="1">{"Riqfin97",#N/A,FALSE,"Tran";"Riqfinpro",#N/A,FALSE,"Tran"}</definedName>
    <definedName name="hjk" localSheetId="0" hidden="1">{"Riqfin97",#N/A,FALSE,"Tran";"Riqfinpro",#N/A,FALSE,"Tran"}</definedName>
    <definedName name="hjk" hidden="1">{"Riqfin97",#N/A,FALSE,"Tran";"Riqfinpro",#N/A,FALSE,"Tran"}</definedName>
    <definedName name="hn" localSheetId="21" hidden="1">{"Riqfin97",#N/A,FALSE,"Tran";"Riqfinpro",#N/A,FALSE,"Tran"}</definedName>
    <definedName name="hn" localSheetId="1" hidden="1">{"Riqfin97",#N/A,FALSE,"Tran";"Riqfinpro",#N/A,FALSE,"Tran"}</definedName>
    <definedName name="hn" localSheetId="0" hidden="1">{"Riqfin97",#N/A,FALSE,"Tran";"Riqfinpro",#N/A,FALSE,"Tran"}</definedName>
    <definedName name="hn" hidden="1">{"Riqfin97",#N/A,FALSE,"Tran";"Riqfinpro",#N/A,FALSE,"Tran"}</definedName>
    <definedName name="HONGKONG">[94]SpotExchangeRates!#REF!</definedName>
    <definedName name="Hotel_or_Restaurant_105">'[51]9.3'!$A$109:$IV$109</definedName>
    <definedName name="hpu" localSheetId="21" hidden="1">{"Tab1",#N/A,FALSE,"P";"Tab2",#N/A,FALSE,"P"}</definedName>
    <definedName name="hpu" localSheetId="1" hidden="1">{"Tab1",#N/A,FALSE,"P";"Tab2",#N/A,FALSE,"P"}</definedName>
    <definedName name="hpu" localSheetId="0" hidden="1">{"Tab1",#N/A,FALSE,"P";"Tab2",#N/A,FALSE,"P"}</definedName>
    <definedName name="hpu" hidden="1">{"Tab1",#N/A,FALSE,"P";"Tab2",#N/A,FALSE,"P"}</definedName>
    <definedName name="HTML_CodePage" hidden="1">1252</definedName>
    <definedName name="HTML_Control" localSheetId="21" hidden="1">{"'Resources'!$A$1:$W$34","'Balance Sheet'!$A$1:$W$58","'SFD'!$A$1:$J$52"}</definedName>
    <definedName name="HTML_Control" localSheetId="1" hidden="1">{"'Resources'!$A$1:$W$34","'Balance Sheet'!$A$1:$W$58","'SFD'!$A$1:$J$52"}</definedName>
    <definedName name="HTML_Control" localSheetId="0" hidden="1">{"'Resources'!$A$1:$W$34","'Balance Sheet'!$A$1:$W$58","'SFD'!$A$1:$J$52"}</definedName>
    <definedName name="HTML_Control" hidden="1">{"'Resources'!$A$1:$W$34","'Balance Sheet'!$A$1:$W$58","'SFD'!$A$1:$J$52"}</definedName>
    <definedName name="HTML_Control_2" localSheetId="21" hidden="1">{"'web page'!$A$1:$G$48"}</definedName>
    <definedName name="HTML_Control_2" localSheetId="1" hidden="1">{"'web page'!$A$1:$G$48"}</definedName>
    <definedName name="HTML_Control_2" localSheetId="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1" hidden="1">{"'Basic'!$A$1:$F$96"}</definedName>
    <definedName name="huh" localSheetId="1" hidden="1">{"'Basic'!$A$1:$F$96"}</definedName>
    <definedName name="huh" localSheetId="0" hidden="1">{"'Basic'!$A$1:$F$96"}</definedName>
    <definedName name="huh" hidden="1">{"'Basic'!$A$1:$F$96"}</definedName>
    <definedName name="hui" localSheetId="21" hidden="1">{"Tab1",#N/A,FALSE,"P";"Tab2",#N/A,FALSE,"P"}</definedName>
    <definedName name="hui" localSheetId="1" hidden="1">{"Tab1",#N/A,FALSE,"P";"Tab2",#N/A,FALSE,"P"}</definedName>
    <definedName name="hui" localSheetId="0" hidden="1">{"Tab1",#N/A,FALSE,"P";"Tab2",#N/A,FALSE,"P"}</definedName>
    <definedName name="hui" hidden="1">{"Tab1",#N/A,FALSE,"P";"Tab2",#N/A,FALSE,"P"}</definedName>
    <definedName name="Hungary">#REF!</definedName>
    <definedName name="huo" localSheetId="21" hidden="1">{"Tab1",#N/A,FALSE,"P";"Tab2",#N/A,FALSE,"P"}</definedName>
    <definedName name="huo" localSheetId="1" hidden="1">{"Tab1",#N/A,FALSE,"P";"Tab2",#N/A,FALSE,"P"}</definedName>
    <definedName name="huo" localSheetId="0" hidden="1">{"Tab1",#N/A,FALSE,"P";"Tab2",#N/A,FALSE,"P"}</definedName>
    <definedName name="huo" hidden="1">{"Tab1",#N/A,FALSE,"P";"Tab2",#N/A,FALSE,"P"}</definedName>
    <definedName name="HurdleRate">[78]Control!$D$54</definedName>
    <definedName name="i">#REF!</definedName>
    <definedName name="Ibrd">[77]CIRRs!$C$63</definedName>
    <definedName name="Iceland">#REF!</definedName>
    <definedName name="IDA">#REF!</definedName>
    <definedName name="IDA_assistance">'[167]tab 14'!$B$6:$U$25</definedName>
    <definedName name="IDS">#REF!</definedName>
    <definedName name="IESS">#REF!</definedName>
    <definedName name="Ifad">[77]CIRRs!$C$65</definedName>
    <definedName name="IFSCode">[168]readme!$A$5</definedName>
    <definedName name="ii" localSheetId="21" hidden="1">{"Tab1",#N/A,FALSE,"P";"Tab2",#N/A,FALSE,"P"}</definedName>
    <definedName name="ii" localSheetId="1" hidden="1">{"Tab1",#N/A,FALSE,"P";"Tab2",#N/A,FALSE,"P"}</definedName>
    <definedName name="ii" localSheetId="0" hidden="1">{"Tab1",#N/A,FALSE,"P";"Tab2",#N/A,FALSE,"P"}</definedName>
    <definedName name="ii" hidden="1">{"Tab1",#N/A,FALSE,"P";"Tab2",#N/A,FALSE,"P"}</definedName>
    <definedName name="ijh">{"mt1",#N/A,FALSE,"Debt";"mt2",#N/A,FALSE,"Debt";"mt3",#N/A,FALSE,"Debt";"mt4",#N/A,FALSE,"Debt";"mt5",#N/A,FALSE,"Debt";"mt6",#N/A,FALSE,"Debt";"mt7",#N/A,FALSE,"Debt"}</definedName>
    <definedName name="ikjh" localSheetId="21" hidden="1">{"Riqfin97",#N/A,FALSE,"Tran";"Riqfinpro",#N/A,FALSE,"Tran"}</definedName>
    <definedName name="ikjh" localSheetId="1" hidden="1">{"Riqfin97",#N/A,FALSE,"Tran";"Riqfinpro",#N/A,FALSE,"Tran"}</definedName>
    <definedName name="ikjh" localSheetId="0" hidden="1">{"Riqfin97",#N/A,FALSE,"Tran";"Riqfinpro",#N/A,FALSE,"Tran"}</definedName>
    <definedName name="ikjh" hidden="1">{"Riqfin97",#N/A,FALSE,"Tran";"Riqfinpro",#N/A,FALSE,"Tran"}</definedName>
    <definedName name="ilo" localSheetId="21" hidden="1">{"Riqfin97",#N/A,FALSE,"Tran";"Riqfinpro",#N/A,FALSE,"Tran"}</definedName>
    <definedName name="ilo" localSheetId="1" hidden="1">{"Riqfin97",#N/A,FALSE,"Tran";"Riqfinpro",#N/A,FALSE,"Tran"}</definedName>
    <definedName name="ilo" localSheetId="0" hidden="1">{"Riqfin97",#N/A,FALSE,"Tran";"Riqfinpro",#N/A,FALSE,"Tran"}</definedName>
    <definedName name="ilo" hidden="1">{"Riqfin97",#N/A,FALSE,"Tran";"Riqfinpro",#N/A,FALSE,"Tran"}</definedName>
    <definedName name="ilu" localSheetId="21" hidden="1">{"Riqfin97",#N/A,FALSE,"Tran";"Riqfinpro",#N/A,FALSE,"Tran"}</definedName>
    <definedName name="ilu" localSheetId="1" hidden="1">{"Riqfin97",#N/A,FALSE,"Tran";"Riqfinpro",#N/A,FALSE,"Tran"}</definedName>
    <definedName name="ilu" localSheetId="0" hidden="1">{"Riqfin97",#N/A,FALSE,"Tran";"Riqfinpro",#N/A,FALSE,"Tran"}</definedName>
    <definedName name="ilu" hidden="1">{"Riqfin97",#N/A,FALSE,"Tran";"Riqfinpro",#N/A,FALSE,"Tran"}</definedName>
    <definedName name="ima">#REF!</definedName>
    <definedName name="imf">'[123]by year'!$L$6:$L$129</definedName>
    <definedName name="Imfmon">'[169]Input from HUB'!#REF!</definedName>
    <definedName name="Imfquartmon">'[169]Input from HUB'!#REF!</definedName>
    <definedName name="Import_Bills___Imports_7.3">'[51]9.1'!#REF!</definedName>
    <definedName name="IMPORTED_TRIGGER">#REF!</definedName>
    <definedName name="IN">#REF!</definedName>
    <definedName name="in.CPA" localSheetId="2">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'[51]9.1'!#REF!</definedName>
    <definedName name="In__GA__Class_License_Institutions_2.2.4">'[51]9.1'!#REF!</definedName>
    <definedName name="In__KA__Class_License_Institutions_2.1.2">'[51]9.1'!#REF!</definedName>
    <definedName name="In__KA__Class_License_Institutions_2.2.2">'[51]9.1'!#REF!</definedName>
    <definedName name="In__KHA__Class_License_Institutions_2.1.3">'[51]9.1'!#REF!</definedName>
    <definedName name="In__KHA__Class_License_Institutions_2.2.3">'[51]9.1'!#REF!</definedName>
    <definedName name="In_Foreign_Banks_2.2.6">'[51]9.1'!#REF!</definedName>
    <definedName name="In_millions_of_lei">#REF!</definedName>
    <definedName name="In_millions_of_U.S._dollars">#REF!</definedName>
    <definedName name="In_Nepal_Rastra_Bank_2.1.1">'[51]9.1'!#REF!</definedName>
    <definedName name="In_Nepal_Rastra_Bank_2.2.1">'[51]9.1'!#REF!</definedName>
    <definedName name="In_Other_Financial_Institutions_2.1.5">'[51]9.1'!#REF!</definedName>
    <definedName name="In_Other_Financial_Institutions_2.2.5">'[51]9.1'!#REF!</definedName>
    <definedName name="inc">[170]raw!$B$1:$EZ$3500</definedName>
    <definedName name="inc_2">[170]raw!$C$1:$EZ$3500</definedName>
    <definedName name="inclegend">[171]Legend!$G$2:$G$228</definedName>
    <definedName name="Income_from_Extra_Ordinary_transactions_8.">'[51]9.2'!$A$89:$IV$89</definedName>
    <definedName name="Income_Total">'[51]9.2'!$A$103:$IV$103</definedName>
    <definedName name="ind">#REF!</definedName>
    <definedName name="Index_Number">'[106]DMX Metadata Values'!$AE$2:$AE$22</definedName>
    <definedName name="Index_of_Leading_Economic_Indicators">#REF!</definedName>
    <definedName name="IndexClose">OFFSET([172]Index_History!$D$9,0,0,MAX(COUNT([172]Index_History!$D$1:$D$65536)-1,1),1)</definedName>
    <definedName name="IndexDate">OFFSET([172]Index_History!$C$9,0,0,MAX(COUNT([172]Index_History!$C$1:$C$65536),1),1)</definedName>
    <definedName name="INDIA">[94]SpotExchangeRates!#REF!</definedName>
    <definedName name="indic.french">{"Main Economic Indicators",#N/A,FALSE,"C"}</definedName>
    <definedName name="indic.french1">{"Main Economic Indicators",#N/A,FALSE,"C"}</definedName>
    <definedName name="Indicators_of_Economic_Activity">'[106]DMX Metadata Values'!$L$4:$L$10</definedName>
    <definedName name="Individual_10.1.2.2">'[51]9.1'!#REF!</definedName>
    <definedName name="Individual_6.2">'[51]9.1'!#REF!</definedName>
    <definedName name="INDONESIA">[94]SpotExchangeRates!#REF!</definedName>
    <definedName name="INECEL">#REF!</definedName>
    <definedName name="InflateFromYear">[79]ProjectCashFlow!$B$48</definedName>
    <definedName name="Inflation">[78]Control!$D$51</definedName>
    <definedName name="InflationIndex">[78]ProjectCashflow!$E$6:$BF$6</definedName>
    <definedName name="info">'[92]AFR -WETA DAta'!#REF!</definedName>
    <definedName name="INIT">#REF!</definedName>
    <definedName name="INPUT_2">[55]Input!#REF!</definedName>
    <definedName name="INPUT_4">[55]Input!#REF!</definedName>
    <definedName name="input_in" localSheetId="21" hidden="1">{"TRADE_COMP",#N/A,FALSE,"TAB23APP";"BOP",#N/A,FALSE,"TAB6";"DOT",#N/A,FALSE,"TAB24APP";"EXTDEBT",#N/A,FALSE,"TAB25APP"}</definedName>
    <definedName name="input_in" localSheetId="1" hidden="1">{"TRADE_COMP",#N/A,FALSE,"TAB23APP";"BOP",#N/A,FALSE,"TAB6";"DOT",#N/A,FALSE,"TAB24APP";"EXTDEBT",#N/A,FALSE,"TAB25APP"}</definedName>
    <definedName name="input_in" localSheetId="0" hidden="1">{"TRADE_COMP",#N/A,FALSE,"TAB23APP";"BOP",#N/A,FALSE,"TAB6";"DOT",#N/A,FALSE,"TAB24APP";"EXTDEBT",#N/A,FALSE,"TAB25APP"}</definedName>
    <definedName name="input_in" hidden="1">{"TRADE_COMP",#N/A,FALSE,"TAB23APP";"BOP",#N/A,FALSE,"TAB6";"DOT",#N/A,FALSE,"TAB24APP";"EXTDEBT",#N/A,FALSE,"TAB25APP"}</definedName>
    <definedName name="INS">[142]outsheet!$K$10</definedName>
    <definedName name="Institutional_Guarantee_35">'[51]9.4'!$A$39:$IV$39</definedName>
    <definedName name="int">#REF!</definedName>
    <definedName name="Int_Ext">#REF!</definedName>
    <definedName name="inter3">{"Main Economic Indicators",#N/A,FALSE,"C"}</definedName>
    <definedName name="Interbank_Borrowings_2.2">'[51]9.1'!#REF!</definedName>
    <definedName name="Interbank_Investment_5.2">'[51]9.1'!#REF!</definedName>
    <definedName name="Interest">#REF!</definedName>
    <definedName name="Interest_IDA">#REF!</definedName>
    <definedName name="Interest_NC">[103]Triangles!$H$741</definedName>
    <definedName name="interest_rate_ADV">#REF!</definedName>
    <definedName name="interest_rate_EME">#REF!</definedName>
    <definedName name="Interest_Suspense_Account_5.13">'[51]9.1'!#REF!</definedName>
    <definedName name="International_Investment_Position">'[106]DMX Metadata Values'!$M$4:$M$6</definedName>
    <definedName name="International_Rated_Foreign_Bank_s_Guarantee_38">'[51]9.4'!$A$42:$IV$42</definedName>
    <definedName name="International_Reserves">'[106]DMX Metadata Values'!$N$4</definedName>
    <definedName name="interrelations3">{"Main Economic Indicators",#N/A,FALSE,"C"}</definedName>
    <definedName name="inthalf">[173]Sheet4!$C$58:$G$112</definedName>
    <definedName name="IntRateReal">[78]Control!$D$52</definedName>
    <definedName name="Investment_Adjustment_Fund_1.10">'[51]9.1'!#REF!</definedName>
    <definedName name="Investment_adjustment_fund_7.4.">'[51]9.2'!$A$46:$IV$46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41401.4855902778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teChange">OFFSET([143]DATA!$P$3,[143]DATA!$D$1-3,0,[143]DATA!$L$1-[143]DATA!$D$1+3,1)</definedName>
    <definedName name="Ireland">#REF!</definedName>
    <definedName name="is">#REF!</definedName>
    <definedName name="IsDB">[77]CIRRs!$C$68</definedName>
    <definedName name="ISO">[87]lookup!$H$2</definedName>
    <definedName name="isolegend">[171]Legend!$A$2:$A$228</definedName>
    <definedName name="Israel">#REF!</definedName>
    <definedName name="ISTJ">[81]K3!$A$15:$IV$15</definedName>
    <definedName name="Italy">#REF!</definedName>
    <definedName name="ivh">{"macroa",#N/A,FALSE,"Macro";"suma2",#N/A,FALSE,"Data";"suma3",#N/A,FALSE,"Data";"suma4",#N/A,FALSE,"Data";"suma5",#N/A,FALSE,"Data";"suma6",#N/A,FALSE,"Data";"suma7",#N/A,FALSE,"Data";"suma8",#N/A,FALSE,"Data";"suma9",#N/A,FALSE,"Data"}</definedName>
    <definedName name="Jahr">#REF!</definedName>
    <definedName name="JAHR_N">1994</definedName>
    <definedName name="JAHR_N_1">1993</definedName>
    <definedName name="JAHR_N_2">1992</definedName>
    <definedName name="JAHR_N1">1995</definedName>
    <definedName name="JAHR_N2">1996</definedName>
    <definedName name="JAHRBEMESS">[86]Daten_Faltblatt!$D$12</definedName>
    <definedName name="JAHRFINANZ">[86]Daten_Faltblatt!$D$13</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AN">[94]SpotExchangeRates!#REF!</definedName>
    <definedName name="jerry" hidden="1">'[174]Balance Sheet'!#REF!</definedName>
    <definedName name="jerryb" hidden="1">'[174]Balance Sheet'!#REF!</definedName>
    <definedName name="jgukg" localSheetId="21" hidden="1">{#N/A,#N/A,FALSE,"DOC";"TB_28",#N/A,FALSE,"FITB_28";"TB_91",#N/A,FALSE,"FITB_91";"TB_182",#N/A,FALSE,"FITB_182";"TB_273",#N/A,FALSE,"FITB_273";"TB_364",#N/A,FALSE,"FITB_364 ";"SUMMARY",#N/A,FALSE,"Summary"}</definedName>
    <definedName name="jgukg" localSheetId="1" hidden="1">{#N/A,#N/A,FALSE,"DOC";"TB_28",#N/A,FALSE,"FITB_28";"TB_91",#N/A,FALSE,"FITB_91";"TB_182",#N/A,FALSE,"FITB_182";"TB_273",#N/A,FALSE,"FITB_273";"TB_364",#N/A,FALSE,"FITB_364 ";"SUMMARY",#N/A,FALSE,"Summary"}</definedName>
    <definedName name="jgukg" localSheetId="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1" hidden="1">{"MONA",#N/A,FALSE,"S"}</definedName>
    <definedName name="jhgf" localSheetId="1" hidden="1">{"MONA",#N/A,FALSE,"S"}</definedName>
    <definedName name="jhgf" localSheetId="0" hidden="1">{"MONA",#N/A,FALSE,"S"}</definedName>
    <definedName name="jhgf" hidden="1">{"MONA",#N/A,FALSE,"S"}</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1" hidden="1">{"Riqfin97",#N/A,FALSE,"Tran";"Riqfinpro",#N/A,FALSE,"Tran"}</definedName>
    <definedName name="jj" localSheetId="1" hidden="1">{"Riqfin97",#N/A,FALSE,"Tran";"Riqfinpro",#N/A,FALSE,"Tran"}</definedName>
    <definedName name="jj" localSheetId="0" hidden="1">{"Riqfin97",#N/A,FALSE,"Tran";"Riqfinpro",#N/A,FALSE,"Tran"}</definedName>
    <definedName name="jj" hidden="1">{"Riqfin97",#N/A,FALSE,"Tran";"Riqfinpro",#N/A,FALSE,"Tran"}</definedName>
    <definedName name="jjj" hidden="1">[175]M!#REF!</definedName>
    <definedName name="jjjj" localSheetId="21" hidden="1">{"Tab1",#N/A,FALSE,"P";"Tab2",#N/A,FALSE,"P"}</definedName>
    <definedName name="jjjj" localSheetId="1" hidden="1">{"Tab1",#N/A,FALSE,"P";"Tab2",#N/A,FALSE,"P"}</definedName>
    <definedName name="jjjj" localSheetId="0" hidden="1">{"Tab1",#N/A,FALSE,"P";"Tab2",#N/A,FALSE,"P"}</definedName>
    <definedName name="jjjj" hidden="1">{"Tab1",#N/A,FALSE,"P";"Tab2",#N/A,FALSE,"P"}</definedName>
    <definedName name="jjjjjj" hidden="1">'[161]J(Priv.Cap)'!#REF!</definedName>
    <definedName name="jkbjkb" localSheetId="21" hidden="1">{"DEPOSITS",#N/A,FALSE,"COMML_MON";"LOANS",#N/A,FALSE,"COMML_MON"}</definedName>
    <definedName name="jkbjkb" localSheetId="1" hidden="1">{"DEPOSITS",#N/A,FALSE,"COMML_MON";"LOANS",#N/A,FALSE,"COMML_MON"}</definedName>
    <definedName name="jkbjkb" localSheetId="0" hidden="1">{"DEPOSITS",#N/A,FALSE,"COMML_MON";"LOANS",#N/A,FALSE,"COMML_MON"}</definedName>
    <definedName name="jkbjkb" hidden="1">{"DEPOSITS",#N/A,FALSE,"COMML_MON";"LOANS",#N/A,FALSE,"COMML_MON"}</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1" hidden="1">{"Riqfin97",#N/A,FALSE,"Tran";"Riqfinpro",#N/A,FALSE,"Tran"}</definedName>
    <definedName name="jui" localSheetId="1" hidden="1">{"Riqfin97",#N/A,FALSE,"Tran";"Riqfinpro",#N/A,FALSE,"Tran"}</definedName>
    <definedName name="jui" localSheetId="0" hidden="1">{"Riqfin97",#N/A,FALSE,"Tran";"Riqfinpro",#N/A,FALSE,"Tran"}</definedName>
    <definedName name="jui" hidden="1">{"Riqfin97",#N/A,FALSE,"Tran";"Riqfinpro",#N/A,FALSE,"Tran"}</definedName>
    <definedName name="junk" hidden="1">#REF!</definedName>
    <definedName name="junk1" localSheetId="21" hidden="1">#REF!</definedName>
    <definedName name="junk1" hidden="1">#REF!</definedName>
    <definedName name="junk2" localSheetId="21" hidden="1">#REF!</definedName>
    <definedName name="junk2" hidden="1">#REF!</definedName>
    <definedName name="junk3" localSheetId="21" hidden="1">#REF!</definedName>
    <definedName name="junk3" hidden="1">#REF!</definedName>
    <definedName name="juy" localSheetId="21" hidden="1">{"Tab1",#N/A,FALSE,"P";"Tab2",#N/A,FALSE,"P"}</definedName>
    <definedName name="juy" localSheetId="1" hidden="1">{"Tab1",#N/A,FALSE,"P";"Tab2",#N/A,FALSE,"P"}</definedName>
    <definedName name="juy" localSheetId="0" hidden="1">{"Tab1",#N/A,FALSE,"P";"Tab2",#N/A,FALSE,"P"}</definedName>
    <definedName name="juy" hidden="1">{"Tab1",#N/A,FALSE,"P";"Tab2",#N/A,FALSE,"P"}</definedName>
    <definedName name="k" localSheetId="1" hidden="1">{"Riqfin97",#N/A,FALSE,"Tran";"Riqfinpro",#N/A,FALSE,"Tran"}</definedName>
    <definedName name="k" localSheetId="0" hidden="1">{"Riqfin97",#N/A,FALSE,"Tran";"Riqfinpro",#N/A,FALSE,"Tran"}</definedName>
    <definedName name="k">[0]!k</definedName>
    <definedName name="KA__Class_License_Institutions_6.1.1.1">'[51]9.1'!#REF!</definedName>
    <definedName name="KA__Class_License_Institutions_6.1.2.1">'[51]9.1'!#REF!</definedName>
    <definedName name="kama">{"Main Economic Indicators",#N/A,FALSE,"C"}</definedName>
    <definedName name="kb" localSheetId="21" hidden="1">{"Riqfin97",#N/A,FALSE,"Tran";"Riqfinpro",#N/A,FALSE,"Tran"}</definedName>
    <definedName name="kb" localSheetId="1" hidden="1">{"Riqfin97",#N/A,FALSE,"Tran";"Riqfinpro",#N/A,FALSE,"Tran"}</definedName>
    <definedName name="kb" localSheetId="0" hidden="1">{"Riqfin97",#N/A,FALSE,"Tran";"Riqfinpro",#N/A,FALSE,"Tran"}</definedName>
    <definedName name="kb" hidden="1">{"Riqfin97",#N/A,FALSE,"Tran";"Riqfinpro",#N/A,FALSE,"Tran"}</definedName>
    <definedName name="KEND">#REF!</definedName>
    <definedName name="KeyList">#REF!</definedName>
    <definedName name="KHA__Class_License_Institutions_6.1.1.2">'[51]9.1'!#REF!</definedName>
    <definedName name="KHA__Class_License_Institutions_6.1.2.2">'[51]9.1'!#REF!</definedName>
    <definedName name="kio" localSheetId="21" hidden="1">{"Tab1",#N/A,FALSE,"P";"Tab2",#N/A,FALSE,"P"}</definedName>
    <definedName name="kio" localSheetId="1" hidden="1">{"Tab1",#N/A,FALSE,"P";"Tab2",#N/A,FALSE,"P"}</definedName>
    <definedName name="kio" localSheetId="0" hidden="1">{"Tab1",#N/A,FALSE,"P";"Tab2",#N/A,FALSE,"P"}</definedName>
    <definedName name="kio" hidden="1">{"Tab1",#N/A,FALSE,"P";"Tab2",#N/A,FALSE,"P"}</definedName>
    <definedName name="kiu" localSheetId="21" hidden="1">{"Riqfin97",#N/A,FALSE,"Tran";"Riqfinpro",#N/A,FALSE,"Tran"}</definedName>
    <definedName name="kiu" localSheetId="1" hidden="1">{"Riqfin97",#N/A,FALSE,"Tran";"Riqfinpro",#N/A,FALSE,"Tran"}</definedName>
    <definedName name="kiu" localSheetId="0" hidden="1">{"Riqfin97",#N/A,FALSE,"Tran";"Riqfinpro",#N/A,FALSE,"Tran"}</definedName>
    <definedName name="kiu" hidden="1">{"Riqfin97",#N/A,FALSE,"Tran";"Riqfinpro",#N/A,FALSE,"Tran"}</definedName>
    <definedName name="kjas" localSheetId="21" hidden="1">{"Riqfin97",#N/A,FALSE,"Tran";"Riqfinpro",#N/A,FALSE,"Tran"}</definedName>
    <definedName name="kjas" localSheetId="1" hidden="1">{"Riqfin97",#N/A,FALSE,"Tran";"Riqfinpro",#N/A,FALSE,"Tran"}</definedName>
    <definedName name="kjas" localSheetId="0" hidden="1">{"Riqfin97",#N/A,FALSE,"Tran";"Riqfinpro",#N/A,FALSE,"Tran"}</definedName>
    <definedName name="kjas" hidden="1">{"Riqfin97",#N/A,FALSE,"Tran";"Riqfinpro",#N/A,FALSE,"Tran"}</definedName>
    <definedName name="kjg" localSheetId="21"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localSheetId="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1"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localSheetId="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21" hidden="1">{"Main Economic Indicators",#N/A,FALSE,"C"}</definedName>
    <definedName name="kjkj" localSheetId="1" hidden="1">{"Main Economic Indicators",#N/A,FALSE,"C"}</definedName>
    <definedName name="kjkj" localSheetId="0" hidden="1">{"Main Economic Indicators",#N/A,FALSE,"C"}</definedName>
    <definedName name="kjkj" hidden="1">{"Main Economic Indicators",#N/A,FALSE,"C"}</definedName>
    <definedName name="kk" localSheetId="21" hidden="1">{"Tab1",#N/A,FALSE,"P";"Tab2",#N/A,FALSE,"P"}</definedName>
    <definedName name="kk" localSheetId="1" hidden="1">{"Tab1",#N/A,FALSE,"P";"Tab2",#N/A,FALSE,"P"}</definedName>
    <definedName name="kk" localSheetId="0" hidden="1">{"Tab1",#N/A,FALSE,"P";"Tab2",#N/A,FALSE,"P"}</definedName>
    <definedName name="kk" hidden="1">{"Tab1",#N/A,FALSE,"P";"Tab2",#N/A,FALSE,"P"}</definedName>
    <definedName name="kkk" localSheetId="21" hidden="1">{"Tab1",#N/A,FALSE,"P";"Tab2",#N/A,FALSE,"P"}</definedName>
    <definedName name="kkk" localSheetId="1" hidden="1">{"Tab1",#N/A,FALSE,"P";"Tab2",#N/A,FALSE,"P"}</definedName>
    <definedName name="kkk" localSheetId="0" hidden="1">{"Tab1",#N/A,FALSE,"P";"Tab2",#N/A,FALSE,"P"}</definedName>
    <definedName name="kkk" hidden="1">{"Tab1",#N/A,FALSE,"P";"Tab2",#N/A,FALSE,"P"}</definedName>
    <definedName name="kkkk" hidden="1">[176]M!#REF!</definedName>
    <definedName name="kkkkk" hidden="1">'[177]J(Priv.Cap)'!#REF!</definedName>
    <definedName name="kl" localSheetId="1" hidden="1">{"Riqfin97",#N/A,FALSE,"Tran";"Riqfinpro",#N/A,FALSE,"Tran"}</definedName>
    <definedName name="kl" localSheetId="0" hidden="1">{"Riqfin97",#N/A,FALSE,"Tran";"Riqfinpro",#N/A,FALSE,"Tran"}</definedName>
    <definedName name="kl">'[86]02_Berwerte_ABL'!$E$73</definedName>
    <definedName name="kljlkh" localSheetId="21" hidden="1">{"TRADE_COMP",#N/A,FALSE,"TAB23APP";"BOP",#N/A,FALSE,"TAB6";"DOT",#N/A,FALSE,"TAB24APP";"EXTDEBT",#N/A,FALSE,"TAB25APP"}</definedName>
    <definedName name="kljlkh" localSheetId="1" hidden="1">{"TRADE_COMP",#N/A,FALSE,"TAB23APP";"BOP",#N/A,FALSE,"TAB6";"DOT",#N/A,FALSE,"TAB24APP";"EXTDEBT",#N/A,FALSE,"TAB25APP"}</definedName>
    <definedName name="kljlkh" localSheetId="0" hidden="1">{"TRADE_COMP",#N/A,FALSE,"TAB23APP";"BOP",#N/A,FALSE,"TAB6";"DOT",#N/A,FALSE,"TAB24APP";"EXTDEBT",#N/A,FALSE,"TAB25APP"}</definedName>
    <definedName name="kljlkh" hidden="1">{"TRADE_COMP",#N/A,FALSE,"TAB23APP";"BOP",#N/A,FALSE,"TAB6";"DOT",#N/A,FALSE,"TAB24APP";"EXTDEBT",#N/A,FALSE,"TAB25APP"}</definedName>
    <definedName name="km" localSheetId="21" hidden="1">{"Tab1",#N/A,FALSE,"P";"Tab2",#N/A,FALSE,"P"}</definedName>
    <definedName name="km" localSheetId="1" hidden="1">{"Tab1",#N/A,FALSE,"P";"Tab2",#N/A,FALSE,"P"}</definedName>
    <definedName name="km" localSheetId="0" hidden="1">{"Tab1",#N/A,FALSE,"P";"Tab2",#N/A,FALSE,"P"}</definedName>
    <definedName name="km" hidden="1">{"Tab1",#N/A,FALSE,"P";"Tab2",#N/A,FALSE,"P"}</definedName>
    <definedName name="KMENU">#REF!</definedName>
    <definedName name="kol" localSheetId="21" hidden="1">#REF!</definedName>
    <definedName name="kol" localSheetId="1" hidden="1">#REF!</definedName>
    <definedName name="kol" localSheetId="0" hidden="1">#REF!</definedName>
    <definedName name="kol" hidden="1">#REF!</definedName>
    <definedName name="KOREA">[94]SpotExchangeRates!#REF!</definedName>
    <definedName name="kossi" localSheetId="21" hidden="1">'[26]Dep fonct'!#REF!</definedName>
    <definedName name="kossi" localSheetId="1" hidden="1">'[26]Dep fonct'!#REF!</definedName>
    <definedName name="kossi" localSheetId="0" hidden="1">'[26]Dep fonct'!#REF!</definedName>
    <definedName name="kossi" hidden="1">'[26]Dep fonct'!#REF!</definedName>
    <definedName name="ku">{"macro",#N/A,FALSE,"Macro";"smq2",#N/A,FALSE,"Data";"smq3",#N/A,FALSE,"Data";"smq4",#N/A,FALSE,"Data";"smq5",#N/A,FALSE,"Data";"smq6",#N/A,FALSE,"Data";"smq7",#N/A,FALSE,"Data";"smq8",#N/A,FALSE,"Data";"smq9",#N/A,FALSE,"Data"}</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'[148]Imp:DSA output'!$C$9:$C$464</definedName>
    <definedName name="Label">#REF!</definedName>
    <definedName name="labels">[178]Labels!$A$3:$B$22</definedName>
    <definedName name="Labor">#REF!</definedName>
    <definedName name="Labor_Markets">'[106]DMX Metadata Values'!$O$4:$O$6</definedName>
    <definedName name="LANG">#REF!</definedName>
    <definedName name="last_EFF">'[179]EFF Arrangements'!#REF!</definedName>
    <definedName name="last_PRGF">'[179]PRGF Arrangements'!#REF!</definedName>
    <definedName name="last_STBY">'[179]STBY Arrangements'!#REF!</definedName>
    <definedName name="LastHistYear">2020</definedName>
    <definedName name="Latvia">#REF!</definedName>
    <definedName name="LCM">#REF!</definedName>
    <definedName name="LE">#REF!</definedName>
    <definedName name="LEAP">#REF!</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evelsUS">'[180]%US'!$A$3:$Q$42</definedName>
    <definedName name="LHEM">#REF!</definedName>
    <definedName name="LHM">#REF!</definedName>
    <definedName name="Liabilities_Total">'[51]9.1'!#REF!</definedName>
    <definedName name="libor">[160]IN!$C$7:$X$7</definedName>
    <definedName name="Licensed_Institutions_10.1.2.1.2.1">'[51]9.1'!#REF!</definedName>
    <definedName name="limcount" hidden="1">3</definedName>
    <definedName name="LIPM">#REF!</definedName>
    <definedName name="Liquid_liabilities">#REF!</definedName>
    <definedName name="Liquidity_ratio">#REF!</definedName>
    <definedName name="liquidity_reserve">#REF!</definedName>
    <definedName name="Lithuania">#REF!</definedName>
    <definedName name="lkjh" localSheetId="21" hidden="1">{"Riqfin97",#N/A,FALSE,"Tran";"Riqfinpro",#N/A,FALSE,"Tran"}</definedName>
    <definedName name="lkjh" localSheetId="1" hidden="1">{"Riqfin97",#N/A,FALSE,"Tran";"Riqfinpro",#N/A,FALSE,"Tran"}</definedName>
    <definedName name="lkjh" localSheetId="0" hidden="1">{"Riqfin97",#N/A,FALSE,"Tran";"Riqfinpro",#N/A,FALSE,"Tran"}</definedName>
    <definedName name="lkjh" hidden="1">{"Riqfin97",#N/A,FALSE,"Tran";"Riqfinpro",#N/A,FALSE,"Tran"}</definedName>
    <definedName name="ll" localSheetId="21" hidden="1">{"Tab1",#N/A,FALSE,"P";"Tab2",#N/A,FALSE,"P"}</definedName>
    <definedName name="ll" localSheetId="1" hidden="1">{"Tab1",#N/A,FALSE,"P";"Tab2",#N/A,FALSE,"P"}</definedName>
    <definedName name="ll" localSheetId="0" hidden="1">{"Tab1",#N/A,FALSE,"P";"Tab2",#N/A,FALSE,"P"}</definedName>
    <definedName name="ll" hidden="1">{"Tab1",#N/A,FALSE,"P";"Tab2",#N/A,FALSE,"P"}</definedName>
    <definedName name="LLF">#REF!</definedName>
    <definedName name="lll" localSheetId="21" hidden="1">{"Riqfin97",#N/A,FALSE,"Tran";"Riqfinpro",#N/A,FALSE,"Tran"}</definedName>
    <definedName name="lll" localSheetId="1" hidden="1">{"Riqfin97",#N/A,FALSE,"Tran";"Riqfinpro",#N/A,FALSE,"Tran"}</definedName>
    <definedName name="lll" localSheetId="0" hidden="1">{"Riqfin97",#N/A,FALSE,"Tran";"Riqfinpro",#N/A,FALSE,"Tran"}</definedName>
    <definedName name="lll" hidden="1">{"Riqfin97",#N/A,FALSE,"Tran";"Riqfinpro",#N/A,FALSE,"Tran"}</definedName>
    <definedName name="llll" hidden="1">[175]M!#REF!</definedName>
    <definedName name="lllll" localSheetId="21" hidden="1">{"Tab1",#N/A,FALSE,"P";"Tab2",#N/A,FALSE,"P"}</definedName>
    <definedName name="lllll" localSheetId="1" hidden="1">{"Tab1",#N/A,FALSE,"P";"Tab2",#N/A,FALSE,"P"}</definedName>
    <definedName name="lllll" localSheetId="0" hidden="1">{"Tab1",#N/A,FALSE,"P";"Tab2",#N/A,FALSE,"P"}</definedName>
    <definedName name="lllll" hidden="1">{"Tab1",#N/A,FALSE,"P";"Tab2",#N/A,FALSE,"P"}</definedName>
    <definedName name="llllll" localSheetId="21" hidden="1">{"Minpmon",#N/A,FALSE,"Monthinput"}</definedName>
    <definedName name="llllll" localSheetId="1" hidden="1">{"Minpmon",#N/A,FALSE,"Monthinput"}</definedName>
    <definedName name="llllll" localSheetId="0" hidden="1">{"Minpmon",#N/A,FALSE,"Monthinput"}</definedName>
    <definedName name="llllll" hidden="1">{"Minpmon",#N/A,FALSE,"Monthinput"}</definedName>
    <definedName name="llpsd">#REF!</definedName>
    <definedName name="LNG_Oil_weight">6.4841</definedName>
    <definedName name="Load_Op">#N/A</definedName>
    <definedName name="Loan_Against_Domestic_Bills_8.1">'[51]9.1'!#REF!</definedName>
    <definedName name="Loan_Against_Foreign_Bills_8.2">'[51]9.1'!#REF!</definedName>
    <definedName name="Loan_Loss_Provision_5.9">'[51]9.1'!#REF!</definedName>
    <definedName name="Loan_Written_Off_8.">'[51]9.2'!$A$48:$IV$48</definedName>
    <definedName name="loans">#REF!</definedName>
    <definedName name="Loans___Advances_6.">'[51]9.1'!$A$409:$IV$409</definedName>
    <definedName name="Loans_Against_Collected_Bills_8.">'[51]9.1'!$A$449:$IV$449</definedName>
    <definedName name="Local_Government_121">'[51]9.3'!$A$125:$IV$125</definedName>
    <definedName name="Local_Government_6.1.1.9">'[51]9.1'!#REF!</definedName>
    <definedName name="local_govt">#REF!</definedName>
    <definedName name="LOCPRICE">[181]DeletedOld12!$A$27:$K$28</definedName>
    <definedName name="LONS">[81]K81!$A$15:$IV$15</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OST">[81]K81!$A$14:$IV$14</definedName>
    <definedName name="lta" localSheetId="21" hidden="1">{"Riqfin97",#N/A,FALSE,"Tran";"Riqfinpro",#N/A,FALSE,"Tran"}</definedName>
    <definedName name="lta" localSheetId="1" hidden="1">{"Riqfin97",#N/A,FALSE,"Tran";"Riqfinpro",#N/A,FALSE,"Tran"}</definedName>
    <definedName name="lta" localSheetId="0" hidden="1">{"Riqfin97",#N/A,FALSE,"Tran";"Riqfinpro",#N/A,FALSE,"Tran"}</definedName>
    <definedName name="lta" hidden="1">{"Riqfin97",#N/A,FALSE,"Tran";"Riqfinpro",#N/A,FALSE,"Tran"}</definedName>
    <definedName name="LULCM">#REF!</definedName>
    <definedName name="LUR">#N/A</definedName>
    <definedName name="Luxembourg">#REF!</definedName>
    <definedName name="Lyon">[88]Sheet3!$O$1</definedName>
    <definedName name="m">#REF!</definedName>
    <definedName name="m_i">[170]raw!$B$1:$EZ$1</definedName>
    <definedName name="m_i2">[170]raw!$C$1:$EZ$1</definedName>
    <definedName name="m_mean">[170]mean_data!$B$1:$BZ$1</definedName>
    <definedName name="m_r">[170]raw!$A$1:$EZ$1</definedName>
    <definedName name="m1.00">[182]DBMALLES!$DR$1:$DR$1189</definedName>
    <definedName name="m1.01">[182]DBMALLES!$ED$1:$ED$1189</definedName>
    <definedName name="m1.02">[182]DBMALLES!$EP$1:$EP$1189</definedName>
    <definedName name="m1.03">[182]DBMALLES!$FB$1:$FB$1189</definedName>
    <definedName name="m1.04">[182]DBMALLES!$FN$1:$FN$1189</definedName>
    <definedName name="m1.05">[182]DBMALLES!$FZ$1:$FZ$1189</definedName>
    <definedName name="m1.06">[182]DBMALLES!$GL$1:$GL$1189</definedName>
    <definedName name="m1.91">[182]DBMALLES!$N$1:$N$1189</definedName>
    <definedName name="m1.92">[182]DBMALLES!$Z$1:$Z$1189</definedName>
    <definedName name="m1.93">[182]DBMALLES!$AL$1:$AL$1189</definedName>
    <definedName name="m1.94">[182]DBMALLES!$AX$1:$AX$1189</definedName>
    <definedName name="m1.95">[182]DBMALLES!$BJ$1:$BJ$1189</definedName>
    <definedName name="m1.96">[182]DBMALLES!$BV$1:$BV$1189</definedName>
    <definedName name="m1.97">[182]DBMALLES!$CH$1:$CH$1189</definedName>
    <definedName name="m1.98">[182]DBMALLES!$CT$1:$CT$1189</definedName>
    <definedName name="m1.99">[182]DBMALLES!$DF$1:$DF$1189</definedName>
    <definedName name="m10.00">[182]DBMALLES!$EA$1:$EA$1189</definedName>
    <definedName name="m10.01">[182]DBMALLES!$EM$1:$EM$1189</definedName>
    <definedName name="m10.02">[182]DBMALLES!$EY$1:$EY$1189</definedName>
    <definedName name="m10.03">[182]DBMALLES!$FK$1:$FK$1189</definedName>
    <definedName name="m10.04">[182]DBMALLES!$FW$1:$FW$1189</definedName>
    <definedName name="m10.05">[182]DBMALLES!$GI$1:$GI$1189</definedName>
    <definedName name="m10.06">[182]DBMALLES!$GU$1:$GU$1189</definedName>
    <definedName name="m10.91">[182]DBMALLES!$W$1:$W$1189</definedName>
    <definedName name="m10.92">[182]DBMALLES!$AI$1:$AI$1189</definedName>
    <definedName name="m10.93">[182]DBMALLES!$AU$1:$AU$1189</definedName>
    <definedName name="m10.94">[182]DBMALLES!$BG$1:$BG$1189</definedName>
    <definedName name="m10.95">[182]DBMALLES!$BS$1:$BS$1189</definedName>
    <definedName name="m10.96">[182]DBMALLES!$CE$1:$CE$1189</definedName>
    <definedName name="m10.97">[182]DBMALLES!$CQ$1:$CQ$1189</definedName>
    <definedName name="m10.98">[182]DBMALLES!$DC$1:$DC$1189</definedName>
    <definedName name="m10.99">[182]DBMALLES!$DO$1:$DO$1189</definedName>
    <definedName name="m11.00">[182]DBMALLES!$EB$1:$EB$1189</definedName>
    <definedName name="m11.01">[182]DBMALLES!$EN$1:$EN$1189</definedName>
    <definedName name="m11.02">[182]DBMALLES!$EZ$1:$EZ$1189</definedName>
    <definedName name="m11.03">[182]DBMALLES!$FL$1:$FL$1189</definedName>
    <definedName name="m11.04">[182]DBMALLES!$FX$1:$FX$1189</definedName>
    <definedName name="m11.05">[182]DBMALLES!$GJ$1:$GJ$1189</definedName>
    <definedName name="m11.06">[182]DBMALLES!$GV$1:$GV$1189</definedName>
    <definedName name="m11.91">[182]DBMALLES!$X$1:$X$1189</definedName>
    <definedName name="m11.92">[182]DBMALLES!$AJ$1:$AJ$1189</definedName>
    <definedName name="m11.93">[182]DBMALLES!$AV$1:$AV$1189</definedName>
    <definedName name="m11.94">[182]DBMALLES!$BH$1:$BH$1189</definedName>
    <definedName name="m11.95">[182]DBMALLES!$BT$1:$BT$1189</definedName>
    <definedName name="m11.96">[182]DBMALLES!$CF$1:$CF$1189</definedName>
    <definedName name="m11.97">[182]DBMALLES!$CR$1:$CR$1189</definedName>
    <definedName name="m11.98">[182]DBMALLES!$DD$1:$DD$1189</definedName>
    <definedName name="m11.99">[182]DBMALLES!$DP$1:$DP$1189</definedName>
    <definedName name="m12.00">[182]DBMALLES!$EC$1:$EC$1189</definedName>
    <definedName name="m12.01">[182]DBMALLES!$EO$1:$EO$1189</definedName>
    <definedName name="m12.02">[182]DBMALLES!$FA$1:$FA$1189</definedName>
    <definedName name="m12.03">[182]DBMALLES!$FM$1:$FM$1189</definedName>
    <definedName name="m12.04">[182]DBMALLES!$FY$1:$FY$1189</definedName>
    <definedName name="m12.05">[182]DBMALLES!$GK$1:$GK$1189</definedName>
    <definedName name="m12.06">[182]DBMALLES!$GW$1:$GW$1189</definedName>
    <definedName name="m12.91">[182]DBMALLES!$Y$1:$Y$1189</definedName>
    <definedName name="m12.92">[182]DBMALLES!$AK$1:$AK$1189</definedName>
    <definedName name="m12.93">[182]DBMALLES!$AW$1:$AW$1189</definedName>
    <definedName name="m12.94">[182]DBMALLES!$BI$1:$BI$1189</definedName>
    <definedName name="m12.95">[182]DBMALLES!$BU$1:$BU$1189</definedName>
    <definedName name="m12.96">[182]DBMALLES!$CG$1:$CG$1189</definedName>
    <definedName name="m12.97">[182]DBMALLES!$CS$1:$CS$1189</definedName>
    <definedName name="m12.98">[182]DBMALLES!$DE$1:$DE$1189</definedName>
    <definedName name="m12.99">[182]DBMALLES!$DQ$1:$DQ$1189</definedName>
    <definedName name="m2.00">[182]DBMALLES!$DS$1:$DS$1189</definedName>
    <definedName name="m2.01">[182]DBMALLES!$EE$1:$EE$1189</definedName>
    <definedName name="m2.02">[182]DBMALLES!$EQ$1:$EQ$1189</definedName>
    <definedName name="m2.03">[182]DBMALLES!$FC$1:$FC$1189</definedName>
    <definedName name="m2.04">[182]DBMALLES!$FO$1:$FO$1189</definedName>
    <definedName name="m2.05">[182]DBMALLES!$GA$1:$GA$1189</definedName>
    <definedName name="m2.06">[182]DBMALLES!$GM$1:$GM$1189</definedName>
    <definedName name="m2.91">[182]DBMALLES!$O$1:$O$1189</definedName>
    <definedName name="m2.92">[182]DBMALLES!$AA$1:$AA$1189</definedName>
    <definedName name="m2.93">[182]DBMALLES!$AM$1:$AM$1189</definedName>
    <definedName name="m2.94">[182]DBMALLES!$AY$1:$AY$1189</definedName>
    <definedName name="m2.95">[182]DBMALLES!$BK$1:$BK$1189</definedName>
    <definedName name="m2.96">[182]DBMALLES!$BW$1:$BW$1189</definedName>
    <definedName name="m2.97">[182]DBMALLES!$CI$1:$CI$1189</definedName>
    <definedName name="m2.98">[182]DBMALLES!$CU$1:$CU$1189</definedName>
    <definedName name="m2.99">[182]DBMALLES!$DG$1:$DG$1189</definedName>
    <definedName name="m3.00">[182]DBMALLES!$DT$1:$DT$1189</definedName>
    <definedName name="m3.01">[182]DBMALLES!$EF$1:$EF$1189</definedName>
    <definedName name="m3.02">[182]DBMALLES!$ER$1:$ER$1189</definedName>
    <definedName name="m3.03">[182]DBMALLES!$FD$1:$FD$1189</definedName>
    <definedName name="m3.04">[182]DBMALLES!$FP$1:$FP$1189</definedName>
    <definedName name="m3.05">[182]DBMALLES!$GB$1:$GB$1189</definedName>
    <definedName name="m3.06">[182]DBMALLES!$GN$1:$GN$1189</definedName>
    <definedName name="m3.91">[182]DBMALLES!$P$1:$P$1189</definedName>
    <definedName name="m3.92">[182]DBMALLES!$AB$1:$AB$1189</definedName>
    <definedName name="m3.93">[182]DBMALLES!$AN$1:$AN$1189</definedName>
    <definedName name="m3.94">[182]DBMALLES!$AZ$1:$AZ$1189</definedName>
    <definedName name="m3.95">[182]DBMALLES!$BL$1:$BL$1189</definedName>
    <definedName name="m3.96">[182]DBMALLES!$BX$1:$BX$1189</definedName>
    <definedName name="m3.97">[182]DBMALLES!$CJ$1:$CJ$1189</definedName>
    <definedName name="m3.98">[182]DBMALLES!$CV$1:$CV$1189</definedName>
    <definedName name="m3.99">[182]DBMALLES!$DH$1:$DH$1189</definedName>
    <definedName name="M3Bmark">OFFSET([143]DATA!$C$3,[143]DATA!$D$1-3,0,[143]DATA!$L$1-[143]DATA!$D$1+3,1)</definedName>
    <definedName name="M3Bmark_2wRecalc">OFFSET([143]DATA!$E$3,[143]DATA!$D$1-3,0,[143]DATA!$L$1-[143]DATA!$D$1+3,1)</definedName>
    <definedName name="M3Bubor">OFFSET([143]DATA!$K$3,[143]DATA!$D$1-3,0,[143]DATA!$L$1-[143]DATA!$D$1+3,1)</definedName>
    <definedName name="M3Bubor_2wRecalc">OFFSET([143]DATA!$M$3,[143]DATA!$D$1-3,0,[143]DATA!$L$1-[143]DATA!$D$1+3,1)</definedName>
    <definedName name="m4.00">[182]DBMALLES!$DU$1:$DU$1189</definedName>
    <definedName name="m4.01">[182]DBMALLES!$EG$1:$EG$1189</definedName>
    <definedName name="m4.02">[182]DBMALLES!$ES$1:$ES$1189</definedName>
    <definedName name="m4.03">[182]DBMALLES!$FE$1:$FE$1189</definedName>
    <definedName name="m4.04">[182]DBMALLES!$FQ$1:$FQ$1189</definedName>
    <definedName name="m4.05">[182]DBMALLES!$GC$1:$GC$1189</definedName>
    <definedName name="m4.06">[182]DBMALLES!$GO$1:$GO$1189</definedName>
    <definedName name="m4.91">[182]DBMALLES!$Q$1:$Q$1189</definedName>
    <definedName name="m4.92">[182]DBMALLES!$AC$1:$AC$1189</definedName>
    <definedName name="m4.93">[182]DBMALLES!$AO$1:$AO$1189</definedName>
    <definedName name="m4.94">[182]DBMALLES!$BA$1:$BA$1189</definedName>
    <definedName name="m4.95">[182]DBMALLES!$BM$1:$BM$1189</definedName>
    <definedName name="m4.96">[182]DBMALLES!$BY$1:$BY$1189</definedName>
    <definedName name="m4.97">[182]DBMALLES!$CK$1:$CK$1189</definedName>
    <definedName name="m4.98">[182]DBMALLES!$CW$1:$CW$1189</definedName>
    <definedName name="m4.99">[182]DBMALLES!$DI$1:$DI$1189</definedName>
    <definedName name="m5.00">[182]DBMALLES!$DV$1:$DV$1189</definedName>
    <definedName name="m5.01">[182]DBMALLES!$EH$1:$EH$1189</definedName>
    <definedName name="m5.02">[182]DBMALLES!$ET$1:$ET$1189</definedName>
    <definedName name="m5.03">[182]DBMALLES!$FF$1:$FF$1189</definedName>
    <definedName name="m5.04">[182]DBMALLES!$FR$1:$FR$1189</definedName>
    <definedName name="m5.05">[182]DBMALLES!$GD$1:$GD$1189</definedName>
    <definedName name="m5.06">[182]DBMALLES!$GP$1:$GP$1189</definedName>
    <definedName name="m5.91">[182]DBMALLES!$R$1:$R$1189</definedName>
    <definedName name="m5.92">[182]DBMALLES!$AD$1:$AD$1189</definedName>
    <definedName name="m5.93">[182]DBMALLES!$AP$1:$AP$1189</definedName>
    <definedName name="m5.94">[182]DBMALLES!$BB$1:$BB$1189</definedName>
    <definedName name="m5.95">[182]DBMALLES!$BN$1:$BN$1189</definedName>
    <definedName name="m5.96">[182]DBMALLES!$BZ$1:$BZ$1189</definedName>
    <definedName name="m5.97">[182]DBMALLES!$CL$1:$CL$1189</definedName>
    <definedName name="m5.98">[182]DBMALLES!$CX$1:$CX$1189</definedName>
    <definedName name="m5.99">[182]DBMALLES!$DJ$1:$DJ$1189</definedName>
    <definedName name="m6.00">[182]DBMALLES!$DW$1:$DW$1189</definedName>
    <definedName name="m6.01">[182]DBMALLES!$EI$1:$EI$1189</definedName>
    <definedName name="m6.02">[182]DBMALLES!$EU$1:$EU$1189</definedName>
    <definedName name="m6.03">[182]DBMALLES!$FG$1:$FG$1189</definedName>
    <definedName name="m6.04">[182]DBMALLES!$FS$1:$FS$1189</definedName>
    <definedName name="m6.05">[182]DBMALLES!$GE$1:$GE$1189</definedName>
    <definedName name="m6.06">[182]DBMALLES!$GQ$1:$GQ$1189</definedName>
    <definedName name="m6.91">[182]DBMALLES!$S$1:$S$1189</definedName>
    <definedName name="m6.92">[182]DBMALLES!$AE$1:$AE$1189</definedName>
    <definedName name="m6.93">[182]DBMALLES!$AQ$1:$AQ$1189</definedName>
    <definedName name="m6.94">[182]DBMALLES!$BC$1:$BC$1189</definedName>
    <definedName name="m6.95">[182]DBMALLES!$BO$1:$BO$1189</definedName>
    <definedName name="m6.96">[182]DBMALLES!$CA$1:$CA$1189</definedName>
    <definedName name="m6.97">[182]DBMALLES!$CM$1:$CM$1189</definedName>
    <definedName name="m6.98">[182]DBMALLES!$CY$1:$CY$1189</definedName>
    <definedName name="m6.99">[182]DBMALLES!$DK$1:$DK$1189</definedName>
    <definedName name="m7.00">[182]DBMALLES!$DX$1:$DX$1189</definedName>
    <definedName name="m7.01">[182]DBMALLES!$EJ$1:$EJ$1189</definedName>
    <definedName name="m7.02">[182]DBMALLES!$EV$1:$EV$1189</definedName>
    <definedName name="m7.03">[182]DBMALLES!$FH$1:$FH$1189</definedName>
    <definedName name="m7.04">[182]DBMALLES!$FT$1:$FT$1189</definedName>
    <definedName name="m7.05">[182]DBMALLES!$GF$1:$GF$1189</definedName>
    <definedName name="m7.06">[182]DBMALLES!$GR$1:$GR$1189</definedName>
    <definedName name="m7.91">[182]DBMALLES!$T$1:$T$1189</definedName>
    <definedName name="m7.92">[182]DBMALLES!$AF$1:$AF$1189</definedName>
    <definedName name="m7.93">[182]DBMALLES!$AR$1:$AR$1189</definedName>
    <definedName name="m7.94">[182]DBMALLES!$BD$1:$BD$1189</definedName>
    <definedName name="m7.95">[182]DBMALLES!$BP$1:$BP$1189</definedName>
    <definedName name="m7.96">[182]DBMALLES!$CB$1:$CB$1189</definedName>
    <definedName name="m7.97">[182]DBMALLES!$CN$1:$CN$1189</definedName>
    <definedName name="m7.98">[182]DBMALLES!$CZ$1:$CZ$1189</definedName>
    <definedName name="m7.99">[182]DBMALLES!$DL$1:$DL$1189</definedName>
    <definedName name="m8.00">[182]DBMALLES!$DY$1:$DY$1189</definedName>
    <definedName name="m8.01">[182]DBMALLES!$EK$1:$EK$1189</definedName>
    <definedName name="m8.02">[182]DBMALLES!$EW$1:$EW$1189</definedName>
    <definedName name="m8.03">[182]DBMALLES!$FI$1:$FI$1189</definedName>
    <definedName name="m8.04">[182]DBMALLES!$FU$1:$FU$1189</definedName>
    <definedName name="m8.05">[182]DBMALLES!$GG$1:$GG$1189</definedName>
    <definedName name="m8.06">[182]DBMALLES!$GS$1:$GS$1189</definedName>
    <definedName name="m8.91">[182]DBMALLES!$U$1:$U$1189</definedName>
    <definedName name="m8.92">[182]DBMALLES!$AG$1:$AG$1189</definedName>
    <definedName name="m8.93">[182]DBMALLES!$AS$1:$AS$1189</definedName>
    <definedName name="m8.94">[182]DBMALLES!$BE$1:$BE$1189</definedName>
    <definedName name="m8.95">[182]DBMALLES!$BQ$1:$BQ$1189</definedName>
    <definedName name="m8.96">[182]DBMALLES!$CC$1:$CC$1189</definedName>
    <definedName name="m8.97">[182]DBMALLES!$CO$1:$CO$1189</definedName>
    <definedName name="m8.98">[182]DBMALLES!$DA$1:$DA$1189</definedName>
    <definedName name="m8.99">[182]DBMALLES!$DM$1:$DM$1189</definedName>
    <definedName name="m9.00">[182]DBMALLES!$DZ$1:$DZ$1189</definedName>
    <definedName name="m9.01">[182]DBMALLES!$EL$1:$EL$1189</definedName>
    <definedName name="m9.02">[182]DBMALLES!$EX$1:$EX$1189</definedName>
    <definedName name="m9.03">[182]DBMALLES!$FJ$1:$FJ$1189</definedName>
    <definedName name="m9.04">[182]DBMALLES!$FV$1:$FV$1189</definedName>
    <definedName name="m9.05">[182]DBMALLES!$GH$1:$GH$1189</definedName>
    <definedName name="m9.06">[182]DBMALLES!$GT$1:$GT$1189</definedName>
    <definedName name="m9.91">[182]DBMALLES!$V$1:$V$1189</definedName>
    <definedName name="m9.92">[182]DBMALLES!$AH$1:$AH$1189</definedName>
    <definedName name="m9.93">[182]DBMALLES!$AT$1:$AT$1189</definedName>
    <definedName name="m9.94">[182]DBMALLES!$BF$1:$BF$1189</definedName>
    <definedName name="m9.95">[182]DBMALLES!$BR$1:$BR$1189</definedName>
    <definedName name="m9.96">[182]DBMALLES!$CD$1:$CD$1189</definedName>
    <definedName name="m9.97">[182]DBMALLES!$CP$1:$CP$1189</definedName>
    <definedName name="m9.98">[182]DBMALLES!$DB$1:$DB$1189</definedName>
    <definedName name="m9.99">[182]DBMALLES!$DN$1:$DN$1189</definedName>
    <definedName name="MA">#REF!</definedName>
    <definedName name="Machinery_Tools_66">'[51]9.3'!$A$70:$IV$70</definedName>
    <definedName name="MACROS">#REF!</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p">"Map"</definedName>
    <definedName name="Margin_Accounts_3.6">'[51]9.1'!#REF!</definedName>
    <definedName name="Margin_Nature_Loan_30">'[51]9.3ka'!$A$34:$IV$34</definedName>
    <definedName name="Maturity_IDA">[87]PV_Base!$B$23</definedName>
    <definedName name="Maturity_NC">[103]Triangles!$H$740</definedName>
    <definedName name="MCV">#N/A</definedName>
    <definedName name="MCV_B">#N/A</definedName>
    <definedName name="MCV_D">#N/A</definedName>
    <definedName name="MCV_N">#N/A</definedName>
    <definedName name="MCV_T">#N/A</definedName>
    <definedName name="MDRI_Column">#REF!</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an_inc">[170]mean_data!$B$2:$BZ$113</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tal_Products__Machinary___Electronic_Equipment___Assemblage_64">'[51]9.3'!$A$68:$IV$68</definedName>
    <definedName name="Mexico">#REF!</definedName>
    <definedName name="MF__Assets_Total">'[51]MF_9.1'!#REF!</definedName>
    <definedName name="MF__Bank_Balance_2.">'[51]MF_9.1'!#REF!</definedName>
    <definedName name="MF__Borrowing_from_Nepal_Rastra_Bank_2.1">'[51]MF_9.1'!#REF!</definedName>
    <definedName name="MF__Borrowings_2.">'[51]MF_9.1'!#REF!</definedName>
    <definedName name="MF__Capital___Reserves_Fund_1.">'[51]MF_9.1'!#REF!</definedName>
    <definedName name="MF__Cash_Balance_1.">'[51]MF_9.1'!#REF!</definedName>
    <definedName name="MF__Deposits_3.">'[51]MF_9.1'!#REF!</definedName>
    <definedName name="MF__Expenses_not_Written_off_9.">'[51]MF_9.1'!#REF!</definedName>
    <definedName name="MF__Fixed_Assets_7.">'[51]MF_9.1'!#REF!</definedName>
    <definedName name="MF__General_Reserve_1.4">'[51]MF_9.1'!#REF!</definedName>
    <definedName name="MF__Individual_6.2">'[51]MF_9.1'!#REF!</definedName>
    <definedName name="MF__Institutional_6.1">'[51]MF_9.1'!#REF!</definedName>
    <definedName name="MF__Interest_Suspense_Account_5.14">'[51]MF_9.1'!#REF!</definedName>
    <definedName name="MF__Investment_on_Securities_Except_Shares_4.">'[51]MF_9.1'!#REF!</definedName>
    <definedName name="MF__Liabilities_Total">'[51]MF_9.1'!#REF!</definedName>
    <definedName name="MF__Loan_Loss_Provision_5.10">'[51]MF_9.1'!#REF!</definedName>
    <definedName name="MF__Loans___Advances_6.">'[51]MF_9.1'!#REF!</definedName>
    <definedName name="MF__Money_at_Call_3.">'[51]MF_9.1'!#REF!</definedName>
    <definedName name="MF__Non_Banking_Assets_10.">'[51]MF_9.1'!#REF!</definedName>
    <definedName name="MF__Other_Assets_8.">'[51]MF_9.1'!#REF!</definedName>
    <definedName name="MF__Other_Liabilities___Provisions_5.">'[51]MF_9.1'!#REF!</definedName>
    <definedName name="MF__Others_2.2">'[51]MF_9.1'!#REF!</definedName>
    <definedName name="MF__Paid_up_Capital_1.1">'[51]MF_9.1'!#REF!</definedName>
    <definedName name="MF__Profit___Loss_A_c_7.">'[51]MF_9.1'!#REF!</definedName>
    <definedName name="MF__Profit___Loss_Account_12.">'[51]MF_9.1'!#REF!</definedName>
    <definedName name="MF__Reconciliation_A_c_6.">'[51]MF_9.1'!#REF!</definedName>
    <definedName name="MF__Reconciliation_Account_11.">'[51]MF_9.1'!#REF!</definedName>
    <definedName name="MF__Retained_Earning_1.6">'[51]MF_9.1'!#REF!</definedName>
    <definedName name="MF__Shares___Other_Investments_5.">'[51]MF_9.1'!#REF!</definedName>
    <definedName name="MF_Additional_Loan_Loss_Provision_6.1.3">'[51]MF_9.2'!#REF!</definedName>
    <definedName name="MF_Bills_Purchase_and_Discount_2.1">'[51]MF_9.2'!#REF!</definedName>
    <definedName name="MF_Commission_2.2">'[51]MF_9.2'!#REF!</definedName>
    <definedName name="MF_Commission_and_Discount_2.">'[51]MF_9.2'!#REF!</definedName>
    <definedName name="MF_Commission_Expense_2.">'[51]MF_9.2'!#REF!</definedName>
    <definedName name="MF_Expenses_Total">'[51]MF_9.2'!#REF!</definedName>
    <definedName name="MF_General_Loan_loss_Provision_6.1.1">'[51]MF_9.2'!#REF!</definedName>
    <definedName name="MF_Income_from_Extra_Ordinary_transactions_7.">'[51]MF_9.2'!#REF!</definedName>
    <definedName name="MF_Income_Total">'[51]MF_9.2'!#REF!</definedName>
    <definedName name="MF_Interest_Expense_1.">'[51]MF_9.2'!#REF!</definedName>
    <definedName name="MF_Interest_Income_1.">'[51]MF_9.2'!#REF!</definedName>
    <definedName name="MF_Loan_loss_Provision_6.1">'[51]MF_9.2'!#REF!</definedName>
    <definedName name="MF_Loan_Written_Off_7.">'[51]MF_9.2'!#REF!</definedName>
    <definedName name="MF_Net_Loss_8.">'[51]MF_9.2'!#REF!</definedName>
    <definedName name="MF_Net_Profit_11.">'[51]MF_9.2'!#REF!</definedName>
    <definedName name="MF_Non_Operating_Expense_5.">'[51]MF_9.2'!#REF!</definedName>
    <definedName name="MF_Non_Operating_Income_4.">'[51]MF_9.2'!#REF!</definedName>
    <definedName name="MF_Office_Operating_Expenses_4.">'[51]MF_9.2'!#REF!</definedName>
    <definedName name="MF_On_Borrowing_1.2">'[51]MF_9.2'!#REF!</definedName>
    <definedName name="MF_On_Deposit_Liabilities_1.1">'[51]MF_9.2'!#REF!</definedName>
    <definedName name="MF_On_Investment_1.2">'[51]MF_9.2'!#REF!</definedName>
    <definedName name="MF_On_Loans_and_Advances_1.1">'[51]MF_9.2'!#REF!</definedName>
    <definedName name="MF_Other_Operating_Income_3.">'[51]MF_9.2'!#REF!</definedName>
    <definedName name="MF_Others_2.3">'[51]MF_9.2'!#REF!</definedName>
    <definedName name="MF_Provision_for_Income_Tax_10.">'[51]MF_9.2'!#REF!</definedName>
    <definedName name="MF_Provision_for_Loss_of_Other_Assets_6.4.">'[51]MF_9.2'!#REF!</definedName>
    <definedName name="MF_Provision_for_Loss_on_Investment_6.3.">'[51]MF_9.2'!#REF!</definedName>
    <definedName name="MF_Provision_for_Non_Banking_Assets_6.2.">'[51]MF_9.2'!#REF!</definedName>
    <definedName name="MF_Provision_for_Risk_6.">'[51]MF_9.2'!#REF!</definedName>
    <definedName name="MF_Provision_for_Staff_Bonus_9.">'[51]MF_9.2'!#REF!</definedName>
    <definedName name="MF_Recovery_of_written_off_Loan_6.">'[51]MF_9.2'!#REF!</definedName>
    <definedName name="MF_Special_Loan_Loss_Provision_6.1.2">'[51]MF_9.2'!#REF!</definedName>
    <definedName name="MF_Staff_Expense_3.">'[51]MF_9.2'!#REF!</definedName>
    <definedName name="MF_Write_Back_from_Provisions_for_loss_5.">'[51]MF_9.2'!#REF!</definedName>
    <definedName name="MFISCAL">'[68]Annual Raw Data'!#REF!</definedName>
    <definedName name="mflowsa">[48]!mflowsa</definedName>
    <definedName name="mflowsq">[48]!mflowsq</definedName>
    <definedName name="MICRO">#REF!</definedName>
    <definedName name="Minimum_working_balances">#REF!</definedName>
    <definedName name="Mining_Related_18">'[51]9.3'!$A$22:$IV$22</definedName>
    <definedName name="MISC3">#REF!</definedName>
    <definedName name="MISC4">[55]OUTPUT!#REF!</definedName>
    <definedName name="Miscellaneous">'[106]DMX Metadata Values'!$P$4</definedName>
    <definedName name="MktFin">#REF!</definedName>
    <definedName name="ml">{"macro",#N/A,FALSE,"Macro";"smq2",#N/A,FALSE,"Data";"smq3",#N/A,FALSE,"Data";"smq4",#N/A,FALSE,"Data";"smq5",#N/A,FALSE,"Data";"smq6",#N/A,FALSE,"Data";"smq7",#N/A,FALSE,"Data";"smq8",#N/A,FALSE,"Data";"smq9",#N/A,FALSE,"Data"}</definedName>
    <definedName name="mmm" localSheetId="21" hidden="1">{"Riqfin97",#N/A,FALSE,"Tran";"Riqfinpro",#N/A,FALSE,"Tran"}</definedName>
    <definedName name="mmm" localSheetId="1" hidden="1">{"Riqfin97",#N/A,FALSE,"Tran";"Riqfinpro",#N/A,FALSE,"Tran"}</definedName>
    <definedName name="mmm" localSheetId="0" hidden="1">{"Riqfin97",#N/A,FALSE,"Tran";"Riqfinpro",#N/A,FALSE,"Tran"}</definedName>
    <definedName name="mmm" hidden="1">{"Riqfin97",#N/A,FALSE,"Tran";"Riqfinpro",#N/A,FALSE,"Tran"}</definedName>
    <definedName name="mmmm" localSheetId="21" hidden="1">{"Tab1",#N/A,FALSE,"P";"Tab2",#N/A,FALSE,"P"}</definedName>
    <definedName name="mmmm" localSheetId="1" hidden="1">{"Tab1",#N/A,FALSE,"P";"Tab2",#N/A,FALSE,"P"}</definedName>
    <definedName name="mmmm" localSheetId="0" hidden="1">{"Tab1",#N/A,FALSE,"P";"Tab2",#N/A,FALSE,"P"}</definedName>
    <definedName name="mmmm" hidden="1">{"Tab1",#N/A,FALSE,"P";"Tab2",#N/A,FALSE,"P"}</definedName>
    <definedName name="mmmmm" localSheetId="21" hidden="1">{"Riqfin97",#N/A,FALSE,"Tran";"Riqfinpro",#N/A,FALSE,"Tran"}</definedName>
    <definedName name="mmmmm" localSheetId="1" hidden="1">{"Riqfin97",#N/A,FALSE,"Tran";"Riqfinpro",#N/A,FALSE,"Tran"}</definedName>
    <definedName name="mmmmm" localSheetId="0" hidden="1">{"Riqfin97",#N/A,FALSE,"Tran";"Riqfinpro",#N/A,FALSE,"Tran"}</definedName>
    <definedName name="mmmmm" hidden="1">{"Riqfin97",#N/A,FALSE,"Tran";"Riqfinpro",#N/A,FALSE,"Tran"}</definedName>
    <definedName name="mn" localSheetId="21" hidden="1">{"Riqfin97",#N/A,FALSE,"Tran";"Riqfinpro",#N/A,FALSE,"Tran"}</definedName>
    <definedName name="mn" localSheetId="1" hidden="1">{"Riqfin97",#N/A,FALSE,"Tran";"Riqfinpro",#N/A,FALSE,"Tran"}</definedName>
    <definedName name="mn" localSheetId="0" hidden="1">{"Riqfin97",#N/A,FALSE,"Tran";"Riqfinpro",#N/A,FALSE,"Tran"}</definedName>
    <definedName name="mn" hidden="1">{"Riqfin97",#N/A,FALSE,"Tran";"Riqfinpro",#N/A,FALSE,"Tran"}</definedName>
    <definedName name="MNT_1_TB">#REF!</definedName>
    <definedName name="MNT_2_TB">#REF!</definedName>
    <definedName name="MNT_3_TB">#REF!</definedName>
    <definedName name="ModelStartYear">[93]Control!$D$7</definedName>
    <definedName name="Moldova">#REF!</definedName>
    <definedName name="Moldova__Balance_of_Payments__1994_98">#REF!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[48]!mstocksa</definedName>
    <definedName name="mstocksq">[48]!mstocksq</definedName>
    <definedName name="MT">[111]ReadMe!$B$30</definedName>
    <definedName name="MT_DB">[183]Content!$I$7</definedName>
    <definedName name="mt_moneyprog">#REF!</definedName>
    <definedName name="MTCOMP">#REF!</definedName>
    <definedName name="MTDB">[184]DIR!$E$5</definedName>
    <definedName name="mte" localSheetId="21" hidden="1">{"Riqfin97",#N/A,FALSE,"Tran";"Riqfinpro",#N/A,FALSE,"Tran"}</definedName>
    <definedName name="mte" localSheetId="1" hidden="1">{"Riqfin97",#N/A,FALSE,"Tran";"Riqfinpro",#N/A,FALSE,"Tran"}</definedName>
    <definedName name="mte" localSheetId="0" hidden="1">{"Riqfin97",#N/A,FALSE,"Tran";"Riqfinpro",#N/A,FALSE,"Tran"}</definedName>
    <definedName name="mte" hidden="1">{"Riqfin97",#N/A,FALSE,"Tran";"Riqfinpro",#N/A,FALSE,"Tran"}</definedName>
    <definedName name="MtoeToBcmeq">41.868/36.1</definedName>
    <definedName name="MtoeToTWh">1/0.086</definedName>
    <definedName name="MTPROJ">#REF!</definedName>
    <definedName name="Municipios">#REF!</definedName>
    <definedName name="n" localSheetId="21" hidden="1">{"Minpmon",#N/A,FALSE,"Monthinput"}</definedName>
    <definedName name="n" localSheetId="1" hidden="1">{"Minpmon",#N/A,FALSE,"Monthinput"}</definedName>
    <definedName name="n" localSheetId="0" hidden="1">{"Minpmon",#N/A,FALSE,"Monthinput"}</definedName>
    <definedName name="n" hidden="1">{"Minpmon",#N/A,FALSE,"Monthinput"}</definedName>
    <definedName name="n.a.">#REF!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Q">'[103]Complete Data Set (Quarterly)'!$C$7:$C$196</definedName>
    <definedName name="Names_RawData">#REF!</definedName>
    <definedName name="Names_SAData">#REF!</definedName>
    <definedName name="NAMES_THEN">'[103]Source Data (Previous)'!$C$10:$C$119</definedName>
    <definedName name="names_w">#REF!</definedName>
    <definedName name="namesweo">#REF!</definedName>
    <definedName name="NatCurr">'[106]DMX Metadata Values'!$W$2:$W$288</definedName>
    <definedName name="National_Accounts">'[106]DMX Metadata Values'!$Q$4:$Q$8</definedName>
    <definedName name="nbvnbvnbv">{"Main Economic Indicators",#N/A,FALSE,"C"}</definedName>
    <definedName name="NCG">#N/A</definedName>
    <definedName name="NCG_R">#N/A</definedName>
    <definedName name="NCP">#N/A</definedName>
    <definedName name="NCP_R">#N/A</definedName>
    <definedName name="Ndf">[77]CIRRs!$C$69</definedName>
    <definedName name="Nepal_Government_Securities_4.1">'[51]9.1'!#REF!</definedName>
    <definedName name="Nepalese_Notes___Coins_1.1">'[51]9.1'!#REF!</definedName>
    <definedName name="Net_Loss_9.">'[51]9.2'!$A$90:$IV$90</definedName>
    <definedName name="Net_Profit_12.">'[51]9.2'!$A$52:$IV$52</definedName>
    <definedName name="Net_uncommitted_usable_resources">#REF!</definedName>
    <definedName name="Netherlands">#REF!</definedName>
    <definedName name="Netherlands_Antilles">#REF!</definedName>
    <definedName name="new" localSheetId="1" hidden="1">{"TBILLS_ALL",#N/A,FALSE,"FITB_all"}</definedName>
    <definedName name="new" localSheetId="0" hidden="1">{"TBILLS_ALL",#N/A,FALSE,"FITB_all"}</definedName>
    <definedName name="new">'[178]Table1 new inputs'!$A$3:$M$84</definedName>
    <definedName name="Newdate">'[135]A Current Data'!$D$61</definedName>
    <definedName name="newm">'[178]Table1 new inputs'!$A$3:$M$3</definedName>
    <definedName name="newnew" localSheetId="21" hidden="1">{"TBILLS_ALL",#N/A,FALSE,"FITB_all"}</definedName>
    <definedName name="newnew" localSheetId="1" hidden="1">{"TBILLS_ALL",#N/A,FALSE,"FITB_all"}</definedName>
    <definedName name="newnew" localSheetId="0" hidden="1">{"TBILLS_ALL",#N/A,FALSE,"FITB_all"}</definedName>
    <definedName name="newnew" hidden="1">{"TBILLS_ALL",#N/A,FALSE,"FITB_all"}</definedName>
    <definedName name="NewOld">#REF!</definedName>
    <definedName name="NEWPL">[185]NEWPL!$A$1:$E$692</definedName>
    <definedName name="NewVintage">'[135]A Current Data'!$D$60</definedName>
    <definedName name="NFA_assumptions">#REF!</definedName>
    <definedName name="NFBS79X89">'[186]NFBS79-89'!$A$3:$M$49</definedName>
    <definedName name="NFBS79X89T">'[186]NFBS79-89'!$A$3:$M$3</definedName>
    <definedName name="NFBS90X97">'[186]NFBS90-97'!$A$3:$M$49</definedName>
    <definedName name="NFBS90X97T">'[186]NFBS90-97'!$A$3:$M$3</definedName>
    <definedName name="NFI">#N/A</definedName>
    <definedName name="NFI_R">#N/A</definedName>
    <definedName name="NFIP">'[92]AFR -WETA DAta'!#REF!</definedName>
    <definedName name="nfrtrs" hidden="1">[16]WB!$Q$257:$AK$257</definedName>
    <definedName name="NGDP">#N/A</definedName>
    <definedName name="NGDP_D">#REF!</definedName>
    <definedName name="NGDP_DG">#N/A</definedName>
    <definedName name="NGDP_FY">#REF!</definedName>
    <definedName name="NGDP_R">#N/A</definedName>
    <definedName name="NGDP_RG">[187]Q1!$E$51:$AK$51</definedName>
    <definedName name="NGDPA">#REF!</definedName>
    <definedName name="NGS_NGDP">#N/A</definedName>
    <definedName name="nhgnnfg">{"Main Economic Indicators",#N/A,FALSE,"C"}</definedName>
    <definedName name="NINV">#N/A</definedName>
    <definedName name="NINV_R">#N/A</definedName>
    <definedName name="NIP">'[91]Output WEO'!#REF!</definedName>
    <definedName name="NLG">[77]CIRRs!$C$99</definedName>
    <definedName name="NM">#N/A</definedName>
    <definedName name="NM_R">#N/A</definedName>
    <definedName name="NMG">'[92]AFR -WETA DAta'!#REF!</definedName>
    <definedName name="NMG_R">'[92]AFR -WETA DAta'!#REF!</definedName>
    <definedName name="NMG_RG">#N/A</definedName>
    <definedName name="nn" localSheetId="21" hidden="1">{"Riqfin97",#N/A,FALSE,"Tran";"Riqfinpro",#N/A,FALSE,"Tran"}</definedName>
    <definedName name="nn" localSheetId="1" hidden="1">{"Riqfin97",#N/A,FALSE,"Tran";"Riqfinpro",#N/A,FALSE,"Tran"}</definedName>
    <definedName name="nn" localSheetId="0" hidden="1">{"Riqfin97",#N/A,FALSE,"Tran";"Riqfinpro",#N/A,FALSE,"Tran"}</definedName>
    <definedName name="nn" hidden="1">{"Riqfin97",#N/A,FALSE,"Tran";"Riqfinpro",#N/A,FALSE,"Tran"}</definedName>
    <definedName name="NNAMES">'[92]AFR -WETA DAta'!#REF!</definedName>
    <definedName name="nnga" localSheetId="21" hidden="1">#REF!</definedName>
    <definedName name="nnga" hidden="1">#REF!</definedName>
    <definedName name="nnn" localSheetId="21" hidden="1">{"Tab1",#N/A,FALSE,"P";"Tab2",#N/A,FALSE,"P"}</definedName>
    <definedName name="nnn" localSheetId="1" hidden="1">{"Tab1",#N/A,FALSE,"P";"Tab2",#N/A,FALSE,"P"}</definedName>
    <definedName name="nnn" localSheetId="0" hidden="1">{"Tab1",#N/A,FALSE,"P";"Tab2",#N/A,FALSE,"P"}</definedName>
    <definedName name="nnn" hidden="1">{"Tab1",#N/A,FALSE,"P";"Tab2",#N/A,FALSE,"P"}</definedName>
    <definedName name="Non__Resident_6.3">'[51]9.1'!#REF!</definedName>
    <definedName name="Non_Banking_Assets_12.">'[51]9.1'!#REF!</definedName>
    <definedName name="Non_BRO">#REF!</definedName>
    <definedName name="Non_Financial_Govt._Institutions_4.4">'[51]9.1'!#REF!</definedName>
    <definedName name="Non_Financial_Private_Institutions_10.1.2.1.1.7">'[51]9.1'!#REF!</definedName>
    <definedName name="Non_Financial_Private_Institutions_10.1.2.1.2.3">'[51]9.1'!#REF!</definedName>
    <definedName name="Non_food_Production_Related_36">'[51]9.3'!$A$40:$IV$40</definedName>
    <definedName name="Non_Governmental_Securities_3">'[51]9.4'!$A$7:$IV$7</definedName>
    <definedName name="Non_oil_GDP_Investment_Sensitivity">0.5/100</definedName>
    <definedName name="Non_Operating_Expense_6.">'[51]9.2'!$A$32:$IV$32</definedName>
    <definedName name="Non_Operating_Income_5.">'[51]9.2'!$A$73:$IV$73</definedName>
    <definedName name="Non_Resident_10.1.2.3">'[51]9.1'!#REF!</definedName>
    <definedName name="Non_Resident_4.6">'[51]9.1'!#REF!</definedName>
    <definedName name="Non_Resident_5.1.11">'[51]9.1'!#REF!</definedName>
    <definedName name="NONLEAP">#REF!</definedName>
    <definedName name="Norway">#REF!</definedName>
    <definedName name="not_specified">'[106]DMX Metadata Values'!$E$4:$E$66</definedName>
    <definedName name="notsure" localSheetId="21" hidden="1">'[188]Time series'!#REF!</definedName>
    <definedName name="notsure" hidden="1">'[188]Time series'!#REF!</definedName>
    <definedName name="NOW">#REF!</definedName>
    <definedName name="NRB_Bonds_1.2.3">'[51]9.2'!$A$60:$IV$60</definedName>
    <definedName name="NRB_Bonds_4.2">'[51]9.1'!#REF!</definedName>
    <definedName name="NTDD_RG">#N/A</definedName>
    <definedName name="NumRiskTable">#REF!</definedName>
    <definedName name="NX">#N/A</definedName>
    <definedName name="NX_R">#N/A</definedName>
    <definedName name="NXG">'[92]AFR -WETA DAta'!#REF!</definedName>
    <definedName name="NXG_R">'[92]AFR -WETA DAta'!#REF!</definedName>
    <definedName name="NXG_RG">#N/A</definedName>
    <definedName name="OBS">#REF!</definedName>
    <definedName name="OCEconomico">[70]Resumo_Âmbito!$Z$1:$AN$266</definedName>
    <definedName name="odofg">#REF!</definedName>
    <definedName name="of_which_Currencies">#REF!</definedName>
    <definedName name="of_which_SDRs">#REF!</definedName>
    <definedName name="Office_Operating_Expenses_4.">'[51]9.2'!$A$23:$IV$23</definedName>
    <definedName name="OilMMBtu_Bbl">[78]Control!$D$26</definedName>
    <definedName name="OilPrice">[78]Control!$D$20</definedName>
    <definedName name="OilPriceSelect">[78]Control!$D$19</definedName>
    <definedName name="OiOrgPro">[126]Provincial!$IQ$5:$IU$88</definedName>
    <definedName name="OK">[0]!OK</definedName>
    <definedName name="old" localSheetId="21" hidden="1">{"TBILLS_ALL",#N/A,FALSE,"FITB_all"}</definedName>
    <definedName name="old" localSheetId="1" hidden="1">{"TBILLS_ALL",#N/A,FALSE,"FITB_all"}</definedName>
    <definedName name="old" localSheetId="0" hidden="1">{"TBILLS_ALL",#N/A,FALSE,"FITB_all"}</definedName>
    <definedName name="old" hidden="1">{"TBILLS_ALL",#N/A,FALSE,"FITB_all"}</definedName>
    <definedName name="Old_New_Scenario">#REF!</definedName>
    <definedName name="olicy">#REF!</definedName>
    <definedName name="oliu" localSheetId="21" hidden="1">{"WEO",#N/A,FALSE,"T"}</definedName>
    <definedName name="oliu" localSheetId="1" hidden="1">{"WEO",#N/A,FALSE,"T"}</definedName>
    <definedName name="oliu" localSheetId="0" hidden="1">{"WEO",#N/A,FALSE,"T"}</definedName>
    <definedName name="oliu" hidden="1">{"WEO",#N/A,FALSE,"T"}</definedName>
    <definedName name="On_Agency_Balance_1.3">'[51]9.2'!$A$62:$IV$62</definedName>
    <definedName name="On_Borrowing_1.2">'[51]9.2'!$A$15:$IV$15</definedName>
    <definedName name="On_Call_Deposit_1.4">'[51]9.2'!$A$63:$IV$63</definedName>
    <definedName name="On_Deposit_Liabilities_1.1">'[51]9.2'!$A$6:$IV$6</definedName>
    <definedName name="On_Loans_and_Advances_1.1">'[51]9.2'!$A$56:$IV$56</definedName>
    <definedName name="On_Others_1.5">'[51]9.2'!$A$64:$IV$64</definedName>
    <definedName name="OnOff">#REF!</definedName>
    <definedName name="OnShow">#N/A</definedName>
    <definedName name="oo" localSheetId="21" hidden="1">{"Riqfin97",#N/A,FALSE,"Tran";"Riqfinpro",#N/A,FALSE,"Tran"}</definedName>
    <definedName name="oo" localSheetId="1" hidden="1">{"Riqfin97",#N/A,FALSE,"Tran";"Riqfinpro",#N/A,FALSE,"Tran"}</definedName>
    <definedName name="oo" localSheetId="0" hidden="1">{"Riqfin97",#N/A,FALSE,"Tran";"Riqfinpro",#N/A,FALSE,"Tran"}</definedName>
    <definedName name="oo" hidden="1">{"Riqfin97",#N/A,FALSE,"Tran";"Riqfinpro",#N/A,FALSE,"Tran"}</definedName>
    <definedName name="ooo" localSheetId="21" hidden="1">{"Tab1",#N/A,FALSE,"P";"Tab2",#N/A,FALSE,"P"}</definedName>
    <definedName name="ooo" localSheetId="1" hidden="1">{"Tab1",#N/A,FALSE,"P";"Tab2",#N/A,FALSE,"P"}</definedName>
    <definedName name="ooo" localSheetId="0" hidden="1">{"Tab1",#N/A,FALSE,"P";"Tab2",#N/A,FALSE,"P"}</definedName>
    <definedName name="ooo" hidden="1">{"Tab1",#N/A,FALSE,"P";"Tab2",#N/A,FALSE,"P"}</definedName>
    <definedName name="oooo" localSheetId="21" hidden="1">{"Tab1",#N/A,FALSE,"P";"Tab2",#N/A,FALSE,"P"}</definedName>
    <definedName name="oooo" localSheetId="1" hidden="1">{"Tab1",#N/A,FALSE,"P";"Tab2",#N/A,FALSE,"P"}</definedName>
    <definedName name="oooo" localSheetId="0" hidden="1">{"Tab1",#N/A,FALSE,"P";"Tab2",#N/A,FALSE,"P"}</definedName>
    <definedName name="oooo" hidden="1">{"Tab1",#N/A,FALSE,"P";"Tab2",#N/A,FALSE,"P"}</definedName>
    <definedName name="op">'[148]Imp:DSA output'!$O$9:$R$464</definedName>
    <definedName name="Opec">[77]CIRRs!$C$66</definedName>
    <definedName name="opu" localSheetId="21" hidden="1">{"Riqfin97",#N/A,FALSE,"Tran";"Riqfinpro",#N/A,FALSE,"Tran"}</definedName>
    <definedName name="opu" localSheetId="1" hidden="1">{"Riqfin97",#N/A,FALSE,"Tran";"Riqfinpro",#N/A,FALSE,"Tran"}</definedName>
    <definedName name="opu" localSheetId="0" hidden="1">{"Riqfin97",#N/A,FALSE,"Tran";"Riqfinpro",#N/A,FALSE,"Tran"}</definedName>
    <definedName name="opu" hidden="1">{"Riqfin97",#N/A,FALSE,"Tran";"Riqfinpro",#N/A,FALSE,"Tran"}</definedName>
    <definedName name="oqui89" localSheetId="21" hidden="1">[134]BOP!$A$36:$IV$36,[134]BOP!$A$44:$IV$44,[134]BOP!$A$59:$IV$59,[134]BOP!#REF!,[134]BOP!#REF!,[134]BOP!$A$79:$IV$79,[134]BOP!$A$81:$IV$88,[134]BOP!#REF!</definedName>
    <definedName name="oqui89" localSheetId="1" hidden="1">[134]BOP!$A$36:$IV$36,[134]BOP!$A$44:$IV$44,[134]BOP!$A$59:$IV$59,[134]BOP!#REF!,[134]BOP!#REF!,[134]BOP!$A$79:$IV$79,[134]BOP!$A$81:$IV$88,[134]BOP!#REF!</definedName>
    <definedName name="oqui89" localSheetId="0" hidden="1">[134]BOP!$A$36:$IV$36,[134]BOP!$A$44:$IV$44,[134]BOP!$A$59:$IV$59,[134]BOP!#REF!,[134]BOP!#REF!,[134]BOP!$A$79:$IV$79,[134]BOP!$A$81:$IV$88,[134]BOP!#REF!</definedName>
    <definedName name="oqui89" hidden="1">[134]BOP!$A$36:$IV$36,[134]BOP!$A$44:$IV$44,[134]BOP!$A$59:$IV$59,[134]BOP!#REF!,[134]BOP!#REF!,[134]BOP!$A$79:$IV$79,[134]BOP!$A$81:$IV$88,[134]BOP!#REF!</definedName>
    <definedName name="OrderTable" localSheetId="1" hidden="1">#REF!</definedName>
    <definedName name="OrderTable" localSheetId="0" hidden="1">#REF!</definedName>
    <definedName name="OrderTable">#REF!</definedName>
    <definedName name="orga">[126]Orgao!$IJ$4:$IQ$124</definedName>
    <definedName name="orgao">[189]ClasOrg!$A$1:$B$132</definedName>
    <definedName name="Orig" localSheetId="21" hidden="1">#REF!</definedName>
    <definedName name="Orig" hidden="1">#REF!</definedName>
    <definedName name="Other_10.1.1.2">'[51]9.1'!#REF!</definedName>
    <definedName name="Other_Borrowings_2.3">'[51]9.1'!#REF!</definedName>
    <definedName name="Other_Financial_Institutions_10.1.2.1.1.5">'[51]9.1'!#REF!</definedName>
    <definedName name="Other_Financial_Institutions_10.1.2.1.2.2">'[51]9.1'!#REF!</definedName>
    <definedName name="Other_Financial_Institutions_6.1.1.7">'[51]9.1'!#REF!</definedName>
    <definedName name="Other_Financial_Institutions_6.1.2.4">'[51]9.1'!#REF!</definedName>
    <definedName name="Other_Funds_2.8">'[51]9.1'!#REF!</definedName>
    <definedName name="Other_Guarantee_39">'[51]9.4'!$A$43:$IV$43</definedName>
    <definedName name="Other_Liabilities_5.">'[51]9.1'!#REF!</definedName>
    <definedName name="Other_Licences_Institutions_6">'[51]9.4'!$A$10:$IV$10</definedName>
    <definedName name="Other_License_Institutions_10.1.2.1.1.2">'[51]9.1'!#REF!</definedName>
    <definedName name="Other_Non_agricultural_Product_19">'[51]9.4'!$A$23:$IV$23</definedName>
    <definedName name="Other_Non_Financial_Institutions_4.5">'[51]9.1'!#REF!</definedName>
    <definedName name="Other_Operating_Income_4.">'[51]9.2'!$A$72:$IV$72</definedName>
    <definedName name="Other_Product_40">'[51]9.3ka'!$A$44:$IV$44</definedName>
    <definedName name="Other_Reserve___Funds_1.7">'[51]9.1'!#REF!</definedName>
    <definedName name="Other_Reserve_1.11">'[51]9.1'!#REF!</definedName>
    <definedName name="Other_Services_109">'[51]9.3'!$A$113:$IV$113</definedName>
    <definedName name="Others_10.1.3">'[51]9.1'!#REF!</definedName>
    <definedName name="Others_10.11">'[51]9.1'!#REF!</definedName>
    <definedName name="Others_2.3">'[51]9.2'!$A$68:$IV$68</definedName>
    <definedName name="Others_3.9">'[51]9.1'!#REF!</definedName>
    <definedName name="Others_Collateralwise_41">'[51]9.4'!$A$45:$IV$45</definedName>
    <definedName name="Others_sectorwise_122">'[51]9.3'!$A$126:$IV$126</definedName>
    <definedName name="Otras_Residuales">#REF!</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#REF!</definedName>
    <definedName name="outl2">#REF!</definedName>
    <definedName name="OUTLOOK">#REF!</definedName>
    <definedName name="OUTLOOK2">#REF!</definedName>
    <definedName name="outputFilePath">#REF!</definedName>
    <definedName name="outras">[82]DespCoefs!$C$42:$Q$42</definedName>
    <definedName name="Overall_Assessment">'[87]Output - Submit'!$C$15</definedName>
    <definedName name="Overdraft_6">'[51]9.3ka'!$A$10:$IV$10</definedName>
    <definedName name="Overdue_Fixed_Deposits_3.8">'[51]9.1'!#REF!</definedName>
    <definedName name="Own_5">'[51]9.4'!$A$9:$IV$9</definedName>
    <definedName name="p" localSheetId="21" hidden="1">{"Riqfin97",#N/A,FALSE,"Tran";"Riqfinpro",#N/A,FALSE,"Tran"}</definedName>
    <definedName name="p" localSheetId="1" hidden="1">{"Riqfin97",#N/A,FALSE,"Tran";"Riqfinpro",#N/A,FALSE,"Tran"}</definedName>
    <definedName name="p" localSheetId="0" hidden="1">{"Riqfin97",#N/A,FALSE,"Tran";"Riqfinpro",#N/A,FALSE,"Tran"}</definedName>
    <definedName name="p" hidden="1">{"Riqfin97",#N/A,FALSE,"Tran";"Riqfinpro",#N/A,FALSE,"Tran"}</definedName>
    <definedName name="P52N">[83]DB95Q!$A$860:$IP$860</definedName>
    <definedName name="P6P7N">[83]DB95Q!$A$887:$IP$887</definedName>
    <definedName name="P71N">[83]DB95Q!$A$892:$IP$892</definedName>
    <definedName name="Page_1">#REF!</definedName>
    <definedName name="Page_2">#REF!</definedName>
    <definedName name="page2">'[190]Monetary Inputs'!#REF!</definedName>
    <definedName name="Page3">'[190]Monetary Inputs'!#REF!</definedName>
    <definedName name="PAGE5">#REF!</definedName>
    <definedName name="Paid_up_Capital_1.1">'[51]9.1'!#REF!</definedName>
    <definedName name="Parmeshwar">[191]E!$AJ$98:$AX$115</definedName>
    <definedName name="PARPA_Investimento">#N/A</definedName>
    <definedName name="PastMTDB">[184]DIR!$E$7</definedName>
    <definedName name="PATH">[111]ReadMe!$B$16</definedName>
    <definedName name="PATH_HD">[111]ReadMe!$B$17</definedName>
    <definedName name="PCPI">#REF!</definedName>
    <definedName name="PCPIE">#REF!</definedName>
    <definedName name="PCPIG">#N/A</definedName>
    <definedName name="PCSBasePrice">[79]PriceCostSensitivity!$I$6</definedName>
    <definedName name="PCSUnitCosts">[79]PriceCostSensitivity!$F$6</definedName>
    <definedName name="PEND">#REF!</definedName>
    <definedName name="Pension_Fund___Insurance_10.1.2.1.1.4">'[51]9.1'!#REF!</definedName>
    <definedName name="Pension_Fund___Insurance_Companies_6.1.1.6">'[51]9.1'!#REF!</definedName>
    <definedName name="percent">#REF!</definedName>
    <definedName name="period">[192]IN!$D$1:$I$1</definedName>
    <definedName name="Personal_Guarantee_36">'[51]9.4'!$A$40:$IV$40</definedName>
    <definedName name="Petroecuador">#REF!</definedName>
    <definedName name="PHILIPPINES">[94]SpotExchangeRates!#REF!</definedName>
    <definedName name="PIB">[84]PRESSUP!$A$10:$IV$10</definedName>
    <definedName name="PIBfTTcnT">[193]macro!$B$308:$AS$308</definedName>
    <definedName name="PIBP">[81]K2!$A$31:$IV$31</definedName>
    <definedName name="PIBPA">[81]K2!$A$32:$IV$32</definedName>
    <definedName name="PIBPN">[81]K2!$A$33:$IV$33</definedName>
    <definedName name="PieChart">"PieChart"</definedName>
    <definedName name="Pipeline_capex">[93]Costs!$L$322:$AY$323</definedName>
    <definedName name="Pipeline_finance">[93]Control!$D$100:$D$103</definedName>
    <definedName name="Pipeline_opex">[93]Costs!$L$348:$AY$349</definedName>
    <definedName name="Pipeline_refinery_production_year">[93]Production!$L$108:$AY$108</definedName>
    <definedName name="pipeline_throughput">[93]Production!$L$139:$AY$139</definedName>
    <definedName name="Pipeline_timing">[93]Production!$L$111:$AY$114</definedName>
    <definedName name="PIPV">[81]K2!$A$8:$IV$8</definedName>
    <definedName name="pit" localSheetId="21" hidden="1">{"Riqfin97",#N/A,FALSE,"Tran";"Riqfinpro",#N/A,FALSE,"Tran"}</definedName>
    <definedName name="pit" localSheetId="1" hidden="1">{"Riqfin97",#N/A,FALSE,"Tran";"Riqfinpro",#N/A,FALSE,"Tran"}</definedName>
    <definedName name="pit" localSheetId="0"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il">[160]IN!$C$27:$X$27</definedName>
    <definedName name="pol" localSheetId="21" hidden="1">[46]A!#REF!</definedName>
    <definedName name="pol" hidden="1">[46]A!#REF!</definedName>
    <definedName name="Poland">#REF!</definedName>
    <definedName name="policy">#REF!</definedName>
    <definedName name="popl" localSheetId="21" hidden="1">#REF!</definedName>
    <definedName name="popl" localSheetId="1" hidden="1">#REF!</definedName>
    <definedName name="popl" localSheetId="0" hidden="1">#REF!</definedName>
    <definedName name="popl" hidden="1">#REF!</definedName>
    <definedName name="POpula">[194]POpula!$A$1:$I$1559</definedName>
    <definedName name="Ports">#REF!</definedName>
    <definedName name="Portugal">#REF!</definedName>
    <definedName name="Poverty_Elimination_Fund_2.6">'[51]9.1'!#REF!</definedName>
    <definedName name="Power__Gas_and_Water_57">'[51]9.3'!$A$61:$IV$61</definedName>
    <definedName name="pp" localSheetId="21" hidden="1">{"Riqfin97",#N/A,FALSE,"Tran";"Riqfinpro",#N/A,FALSE,"Tran"}</definedName>
    <definedName name="pp" localSheetId="1" hidden="1">{"Riqfin97",#N/A,FALSE,"Tran";"Riqfinpro",#N/A,FALSE,"Tran"}</definedName>
    <definedName name="pp" localSheetId="0" hidden="1">{"Riqfin97",#N/A,FALSE,"Tran";"Riqfinpro",#N/A,FALSE,"Tran"}</definedName>
    <definedName name="pp" hidden="1">{"Riqfin97",#N/A,FALSE,"Tran";"Riqfinpro",#N/A,FALSE,"Tran"}</definedName>
    <definedName name="ppp" localSheetId="21" hidden="1">{"Riqfin97",#N/A,FALSE,"Tran";"Riqfinpro",#N/A,FALSE,"Tran"}</definedName>
    <definedName name="ppp" localSheetId="1" hidden="1">{"Riqfin97",#N/A,FALSE,"Tran";"Riqfinpro",#N/A,FALSE,"Tran"}</definedName>
    <definedName name="ppp" localSheetId="0" hidden="1">{"Riqfin97",#N/A,FALSE,"Tran";"Riqfinpro",#N/A,FALSE,"Tran"}</definedName>
    <definedName name="ppp" hidden="1">{"Riqfin97",#N/A,FALSE,"Tran";"Riqfinpro",#N/A,FALSE,"Tran"}</definedName>
    <definedName name="pppppp" localSheetId="21" hidden="1">{"Riqfin97",#N/A,FALSE,"Tran";"Riqfinpro",#N/A,FALSE,"Tran"}</definedName>
    <definedName name="pppppp" localSheetId="1" hidden="1">{"Riqfin97",#N/A,FALSE,"Tran";"Riqfinpro",#N/A,FALSE,"Tran"}</definedName>
    <definedName name="pppppp" localSheetId="0" hidden="1">{"Riqfin97",#N/A,FALSE,"Tran";"Riqfinpro",#N/A,FALSE,"Tran"}</definedName>
    <definedName name="pppppp" hidden="1">{"Riqfin97",#N/A,FALSE,"Tran";"Riqfinpro",#N/A,FALSE,"Tran"}</definedName>
    <definedName name="PPPWGT">#N/A</definedName>
    <definedName name="Pr_tb_5">[72]Prj_Food!$A$10:$O$40</definedName>
    <definedName name="Pr_tb_6">[72]Prj_Fuel!$A$11:$P$38</definedName>
    <definedName name="Pr_tb_7">[72]Pr_Electr!$A$10:$I$34</definedName>
    <definedName name="Pr_tb_8">'[72]JunPrg_9899&amp;beyond'!$A$1332:$AE$1383</definedName>
    <definedName name="Pr_tb_9">'[72]JunPrg_9899&amp;beyond'!$A$1389:$AE$1457</definedName>
    <definedName name="Pr_tb_food0">'[72]JunPrg_9899&amp;beyond'!$A$883:$AE$900</definedName>
    <definedName name="Pr_tb_food1">'[72]JunPrg_9899&amp;beyond'!$A$912:$AE$944</definedName>
    <definedName name="Pr_tb_food2">'[72]JunPrg_9899&amp;beyond'!$A$946:$AE$984</definedName>
    <definedName name="Pr_tb_food3">'[72]JunPrg_9899&amp;beyond'!$A$985:$AE$1028</definedName>
    <definedName name="Pr_tb1">'[72]JunPrg_9899&amp;beyond'!$A$4:$AE$75</definedName>
    <definedName name="Pr_tb1b">'[72]JunPrg_9899&amp;beyond'!$A$1105:$AE$1176</definedName>
    <definedName name="Pr_tb2">'[72]JunPrg_9899&amp;beyond'!$A$150:$AE$190</definedName>
    <definedName name="Pr_tb2b">'[72]JunPrg_9899&amp;beyond'!$A$1206:$AE$1249</definedName>
    <definedName name="Pr_tb3">'[72]JunPrg_9899&amp;beyond'!$A$198:$AE$272</definedName>
    <definedName name="Pr_tb3b">'[72]JunPrg_9899&amp;beyond'!$A$1252:$AE$1327</definedName>
    <definedName name="Pr_tb4">'[72]JunPrg_9899&amp;beyond'!$A$1032:$AE$1089</definedName>
    <definedName name="Preisbasis">[81]K0!$C$12</definedName>
    <definedName name="Prepaid_Expenses_10.5">'[51]9.1'!#REF!</definedName>
    <definedName name="PrevVintage">'[110]A Previous Data'!$D$60</definedName>
    <definedName name="PRGF_Total_Undrawn">'[162]Table 2b'!#REF!</definedName>
    <definedName name="PriceList">#REF!</definedName>
    <definedName name="Prices">'[106]DMX Metadata Values'!$R$4:$R$9</definedName>
    <definedName name="PriceSelect">[79]Control!$D$17</definedName>
    <definedName name="PRINT">#REF!</definedName>
    <definedName name="PRINT_A">#REF!</definedName>
    <definedName name="_xlnm.Print_Area">#REF!</definedName>
    <definedName name="Print_Area_MI">#REF!</definedName>
    <definedName name="Print_Area_T3">'[195]Table 3'!$A$1:$I$51</definedName>
    <definedName name="Print_Area_T4">'[195]Table 4'!$A$5:$L$85</definedName>
    <definedName name="Print_Area_T5">'[195]Table 5'!$A$2:$L$56</definedName>
    <definedName name="Print_Area_T6">'[195]Table 6'!$A$1:$AF$86</definedName>
    <definedName name="PRINT_B">#REF!</definedName>
    <definedName name="_xlnm.Print_Titles">#REF!</definedName>
    <definedName name="Print1">#REF!</definedName>
    <definedName name="Print2">#REF!</definedName>
    <definedName name="PRINTA">[89]Contents!$A$1:$J$28</definedName>
    <definedName name="PrintArea">'[195]Table 2'!$A$3:$L$54</definedName>
    <definedName name="PRINTB">[89]IN!$A$1:$N$23</definedName>
    <definedName name="PRINTC">[89]OUT!$A$1:$N$16</definedName>
    <definedName name="PRINTD">'[89]GDP-real'!$A$1:$G$107</definedName>
    <definedName name="PRINTE">'[89]GDP-curr'!$A$1:$G$72</definedName>
    <definedName name="PRINTF">'[89]GDE-cur'!$A$1:$H$92</definedName>
    <definedName name="PRINTG">[89]GDPprj!$A$1:$Z$109</definedName>
    <definedName name="PRINTG1">[89]GDPprj!$A$1:$Z$109</definedName>
    <definedName name="PRINTG11">[89]GDPprj!$A$1:$Z$109</definedName>
    <definedName name="PRINTH">'[89]MT-SCENA'!$A$1:$N$64</definedName>
    <definedName name="PRINTH11">'[89]MT-SCENA'!$A$1:$N$64</definedName>
    <definedName name="PRINTH2">'[89]MT-SCENA'!$A$1:$N$64</definedName>
    <definedName name="PRINTHP2">'[89]MT-SCENA'!$A$68:$N$113</definedName>
    <definedName name="PRINTI">'[89]Inv-Pub'!$A$1:$L$113</definedName>
    <definedName name="PRINTL">[89]CPI!$A$5:$B$66</definedName>
    <definedName name="PRINTL2">[89]CPI!$A$68:$B$99</definedName>
    <definedName name="PrintThis_Links">[151]Links!$A$1:$F$33</definedName>
    <definedName name="PriorOrigem">'[109]Prioritários 2002'!$Z$4:$AH$177</definedName>
    <definedName name="Private_Debt">'[87]Output - Submit'!$C$14</definedName>
    <definedName name="Private_Non_Financial_Corporations_6.1.1.11">'[51]9.1'!#REF!</definedName>
    <definedName name="Private_Non_Financial_Institutions_6.1.2.6">'[51]9.1'!#REF!</definedName>
    <definedName name="PrivateDebt">'[87]Output-INSTRUCTIONS'!$J$48</definedName>
    <definedName name="proc">'[123]by year'!$P$6:$P$129</definedName>
    <definedName name="ProdForm" localSheetId="21" hidden="1">#REF!</definedName>
    <definedName name="ProdForm" localSheetId="1" hidden="1">#REF!</definedName>
    <definedName name="ProdForm" localSheetId="0" hidden="1">#REF!</definedName>
    <definedName name="ProdForm" hidden="1">#REF!</definedName>
    <definedName name="Product" localSheetId="21" hidden="1">#REF!</definedName>
    <definedName name="Product" localSheetId="1" hidden="1">#REF!</definedName>
    <definedName name="Product" localSheetId="0" hidden="1">#REF!</definedName>
    <definedName name="Product" hidden="1">#REF!</definedName>
    <definedName name="ProductionStartYear">[78]Control!$D$11</definedName>
    <definedName name="Profit___Loss_A_c_8.">'[51]9.1'!#REF!</definedName>
    <definedName name="Profit___Loss_Account_15.">'[51]9.1'!#REF!</definedName>
    <definedName name="profits">#REF!</definedName>
    <definedName name="proil">#REF!</definedName>
    <definedName name="PROJA">#N/A</definedName>
    <definedName name="ProjectData">[78]ProjectCashflow!$E$80:$BF$107</definedName>
    <definedName name="ProjectExampleEscalationBaseYear">[78]ProjectCashflow!$B$26</definedName>
    <definedName name="ProjectionYear">'[87]Data-Input'!$U$22</definedName>
    <definedName name="Proposed_Bonus_Share_1.3">'[51]9.1'!#REF!</definedName>
    <definedName name="Provision_for_Income_Tax_11.">'[51]9.2'!$A$51:$IV$51</definedName>
    <definedName name="Provision_for_Loss_of_Other_Assets_7.5.">'[51]9.2'!$A$47:$IV$47</definedName>
    <definedName name="Provision_for_Loss_on_Investment_7.3.">'[51]9.2'!$A$45:$IV$45</definedName>
    <definedName name="Provision_for_Non_Banking_Assets_7.2.">'[51]9.2'!$A$44:$IV$44</definedName>
    <definedName name="Provision_for_Staff_Bonus_10.">'[51]9.2'!$A$50:$IV$50</definedName>
    <definedName name="prphalf">[173]Sheet4!$C$3:$G$57</definedName>
    <definedName name="PRPINTSEPT">[196]STOCK!$D$4:$W$102</definedName>
    <definedName name="prueba">{"CN",#N/A,FALSE,"SEFI"}</definedName>
    <definedName name="PSI">'[89]Inv-Pub'!$A$3</definedName>
    <definedName name="Public">#N/A</definedName>
    <definedName name="Public_Debt">'[87]Output - Submit'!$C$13</definedName>
    <definedName name="publica">[82]DespCoefs!$C$26:$Q$26</definedName>
    <definedName name="Publication_Status">'[87]Output - Submit'!$C$25</definedName>
    <definedName name="PublicationCSV">OFFSET(#REF!,0,0,COUNTA(#REF!),2)</definedName>
    <definedName name="PublicationStatus">[87]lookup!$N$4:$N$7</definedName>
    <definedName name="PublicDebt">'[87]Output-INSTRUCTIONS'!$J$47</definedName>
    <definedName name="PubSecI">'[89]Inv-Pub'!$A$3</definedName>
    <definedName name="PubW">'[127]W&amp;T'!$C$17</definedName>
    <definedName name="q">'[148]Imp:DSA output'!$M$9:$IH$9</definedName>
    <definedName name="q_\data\kor\cd_korlp">#REF!</definedName>
    <definedName name="Q_\DATA\S1\ECU\WEO\ECU_WEO.dmx">'[197]WEO_OUT DMX'!#REF!</definedName>
    <definedName name="q1.00">[83]DB95Q!$AX$1:$AX$1429</definedName>
    <definedName name="q1.01">[83]DB95Q!$BB$1:$BB$1429</definedName>
    <definedName name="q1.02">[83]DB95Q!$BF$1:$BF$1429</definedName>
    <definedName name="q1.03">[83]DB95Q!$BJ$1:$BJ$1429</definedName>
    <definedName name="q1.04">[83]DB95Q!$BN$1:$BN$1429</definedName>
    <definedName name="q1.05">[83]DB95Q!$BR$1:$BR$1429</definedName>
    <definedName name="q1.06">[83]DB95Q!$BV$1:$BV$1429</definedName>
    <definedName name="q1.07">[83]DB95Q!$BZ$1:$BZ$1429</definedName>
    <definedName name="q1.08">[83]DB95Q!$CD$1:$CD$1429</definedName>
    <definedName name="q1.09">[83]DB95Q!$CH$1:$CH$1429</definedName>
    <definedName name="q1.91">[83]DB95Q!$N$1:$N$1429</definedName>
    <definedName name="q1.92">[83]DB95Q!$R$1:$R$1429</definedName>
    <definedName name="q1.93">[83]DB95Q!$V$1:$V$1429</definedName>
    <definedName name="q1.94">[83]DB95Q!$Z$1:$Z$1429</definedName>
    <definedName name="q1.95">[83]DB95Q!$AD$1:$AD$1429</definedName>
    <definedName name="q1.96">[83]DB95Q!$AH$1:$AH$1429</definedName>
    <definedName name="q1.97">[83]DB95Q!$AL$1:$AL$1429</definedName>
    <definedName name="q1.98">[83]DB95Q!$AP$1:$AP$1429</definedName>
    <definedName name="q1.99">[83]DB95Q!$AT$1:$AT$1429</definedName>
    <definedName name="q2.00">[83]DB95Q!$AY$1:$AY$1429</definedName>
    <definedName name="q2.01">[83]DB95Q!$BC$1:$BC$1429</definedName>
    <definedName name="q2.02">[83]DB95Q!$BG$1:$BG$1429</definedName>
    <definedName name="q2.03">[83]DB95Q!$BK$1:$BK$1429</definedName>
    <definedName name="q2.04">[83]DB95Q!$BO$1:$BO$1429</definedName>
    <definedName name="q2.05">[83]DB95Q!$BS$1:$BS$1429</definedName>
    <definedName name="q2.06">[83]DB95Q!$BW$1:$BW$1429</definedName>
    <definedName name="q2.07">[83]DB95Q!$CA$1:$CA$1429</definedName>
    <definedName name="q2.08">[83]DB95Q!$CE$1:$CE$1429</definedName>
    <definedName name="q2.09">[83]DB95Q!$CI$1:$CI$1429</definedName>
    <definedName name="q2.91">[83]DB95Q!$O$1:$O$1429</definedName>
    <definedName name="q2.92">[83]DB95Q!$S$1:$S$1429</definedName>
    <definedName name="q2.93">[83]DB95Q!$W$1:$W$1429</definedName>
    <definedName name="q2.94">[83]DB95Q!$AA$1:$AA$1429</definedName>
    <definedName name="q2.95">[83]DB95Q!$AE$1:$AE$1429</definedName>
    <definedName name="q2.96">[83]DB95Q!$AI$1:$AI$1429</definedName>
    <definedName name="q2.97">[83]DB95Q!$AM$1:$AM$1429</definedName>
    <definedName name="q2.98">[83]DB95Q!$AQ$1:$AQ$1429</definedName>
    <definedName name="q2.99">[83]DB95Q!$AU$1:$AU$1429</definedName>
    <definedName name="q3.00">[83]DB95Q!$AZ$1:$AZ$1429</definedName>
    <definedName name="q3.01">[83]DB95Q!$BD$1:$BD$1429</definedName>
    <definedName name="q3.02">[83]DB95Q!$BH$1:$BH$1429</definedName>
    <definedName name="q3.03">[83]DB95Q!$BL$1:$BL$1429</definedName>
    <definedName name="q3.04">[83]DB95Q!$BP$1:$BP$1429</definedName>
    <definedName name="q3.05">[83]DB95Q!$BT$1:$BT$1429</definedName>
    <definedName name="q3.06">[83]DB95Q!$BX$1:$BX$1429</definedName>
    <definedName name="q3.07">[83]DB95Q!$CB$1:$CB$1429</definedName>
    <definedName name="q3.08">[83]DB95Q!$CF$1:$CF$1429</definedName>
    <definedName name="q3.09">[83]DB95Q!$CJ$1:$CJ$1429</definedName>
    <definedName name="q3.91">[83]DB95Q!$P$1:$P$1429</definedName>
    <definedName name="q3.92">[83]DB95Q!$T$1:$T$1429</definedName>
    <definedName name="q3.93">[83]DB95Q!$X$1:$X$1429</definedName>
    <definedName name="q3.94">[83]DB95Q!$AB$1:$AB$1429</definedName>
    <definedName name="q3.95">[83]DB95Q!$AF$1:$AF$1429</definedName>
    <definedName name="q3.96">[83]DB95Q!$AJ$1:$AJ$1429</definedName>
    <definedName name="q3.97">[83]DB95Q!$AN$1:$AN$1429</definedName>
    <definedName name="q3.98">[83]DB95Q!$AR$1:$AR$1429</definedName>
    <definedName name="q3.99">[83]DB95Q!$AV$1:$AV$1429</definedName>
    <definedName name="q4.00">[83]DB95Q!$BA$1:$BA$1429</definedName>
    <definedName name="q4.01">[83]DB95Q!$BE$1:$BE$1429</definedName>
    <definedName name="q4.02">[83]DB95Q!$BI$1:$BI$1429</definedName>
    <definedName name="q4.03">[83]DB95Q!$BM$1:$BM$1429</definedName>
    <definedName name="q4.04">[83]DB95Q!$BQ$1:$BQ$1429</definedName>
    <definedName name="q4.05">[83]DB95Q!$BU$1:$BU$1429</definedName>
    <definedName name="q4.06">[83]DB95Q!$BY$1:$BY$1429</definedName>
    <definedName name="q4.07">[83]DB95Q!$CC$1:$CC$1429</definedName>
    <definedName name="q4.08">[83]DB95Q!$CG$1:$CG$1429</definedName>
    <definedName name="q4.09">[83]DB95Q!$CK$1:$CK$1429</definedName>
    <definedName name="q4.91">[83]DB95Q!$Q$1:$Q$1429</definedName>
    <definedName name="q4.92">[83]DB95Q!$U$1:$U$1429</definedName>
    <definedName name="q4.93">[83]DB95Q!$Y$1:$Y$1429</definedName>
    <definedName name="q4.94">[83]DB95Q!$AC$1:$AC$1429</definedName>
    <definedName name="q4.95">[83]DB95Q!$AG$1:$AG$1429</definedName>
    <definedName name="q4.96">[83]DB95Q!$AK$1:$AK$1429</definedName>
    <definedName name="q4.97">[83]DB95Q!$AO$1:$AO$1429</definedName>
    <definedName name="q4.98">[83]DB95Q!$AS$1:$AS$1429</definedName>
    <definedName name="q4.99">[83]DB95Q!$AW$1:$AW$1429</definedName>
    <definedName name="Q6_">#REF!</definedName>
    <definedName name="qaz" localSheetId="21" hidden="1">{"Tab1",#N/A,FALSE,"P";"Tab2",#N/A,FALSE,"P"}</definedName>
    <definedName name="qaz" localSheetId="1" hidden="1">{"Tab1",#N/A,FALSE,"P";"Tab2",#N/A,FALSE,"P"}</definedName>
    <definedName name="qaz" localSheetId="0" hidden="1">{"Tab1",#N/A,FALSE,"P";"Tab2",#N/A,FALSE,"P"}</definedName>
    <definedName name="qaz" hidden="1">{"Tab1",#N/A,FALSE,"P";"Tab2",#N/A,FALSE,"P"}</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1" hidden="1">{"Tab1",#N/A,FALSE,"P";"Tab2",#N/A,FALSE,"P"}</definedName>
    <definedName name="qer" localSheetId="1" hidden="1">{"Tab1",#N/A,FALSE,"P";"Tab2",#N/A,FALSE,"P"}</definedName>
    <definedName name="qer" localSheetId="0" hidden="1">{"Tab1",#N/A,FALSE,"P";"Tab2",#N/A,FALSE,"P"}</definedName>
    <definedName name="qer" hidden="1">{"Tab1",#N/A,FALSE,"P";"Tab2",#N/A,FALSE,"P"}</definedName>
    <definedName name="QFISCAL">'[68]Quarterly Raw Data'!#REF!</definedName>
    <definedName name="qq" hidden="1">'[164]J(Priv.Cap)'!#REF!</definedName>
    <definedName name="qqq" localSheetId="21" hidden="1">{"Minpmon",#N/A,FALSE,"Monthinput"}</definedName>
    <definedName name="qqq" localSheetId="1" hidden="1">{"Minpmon",#N/A,FALSE,"Monthinput"}</definedName>
    <definedName name="qqq" localSheetId="0" hidden="1">{"Minpmon",#N/A,FALSE,"Monthinput"}</definedName>
    <definedName name="qqq" hidden="1">{"Minpmon",#N/A,FALSE,"Monthinput"}</definedName>
    <definedName name="qqqqq" localSheetId="21" hidden="1">{"Minpmon",#N/A,FALSE,"Monthinput"}</definedName>
    <definedName name="qqqqq" localSheetId="1" hidden="1">{"Minpmon",#N/A,FALSE,"Monthinput"}</definedName>
    <definedName name="qqqqq" localSheetId="0" hidden="1">{"Minpmon",#N/A,FALSE,"Monthinput"}</definedName>
    <definedName name="qqqqq" hidden="1">{"Minpmon",#N/A,FALSE,"Monthinput"}</definedName>
    <definedName name="qqqqqq" localSheetId="21" hidden="1">{"Riqfin97",#N/A,FALSE,"Tran";"Riqfinpro",#N/A,FALSE,"Tran"}</definedName>
    <definedName name="qqqqqq" localSheetId="1" hidden="1">{"Riqfin97",#N/A,FALSE,"Tran";"Riqfinpro",#N/A,FALSE,"Tran"}</definedName>
    <definedName name="qqqqqq" localSheetId="0" hidden="1">{"Riqfin97",#N/A,FALSE,"Tran";"Riqfinpro",#N/A,FALSE,"Tran"}</definedName>
    <definedName name="qqqqqq" hidden="1">{"Riqfin97",#N/A,FALSE,"Tran";"Riqfinpro",#N/A,FALSE,"Tran"}</definedName>
    <definedName name="qqqqqqqqqq" localSheetId="21" hidden="1">{"Riqfin97",#N/A,FALSE,"Tran";"Riqfinpro",#N/A,FALSE,"Tran"}</definedName>
    <definedName name="qqqqqqqqqq" localSheetId="1" hidden="1">{"Riqfin97",#N/A,FALSE,"Tran";"Riqfinpro",#N/A,FALSE,"Tran"}</definedName>
    <definedName name="qqqqqqqqqq" localSheetId="0" hidden="1">{"Riqfin97",#N/A,FALSE,"Tran";"Riqfinpro",#N/A,FALSE,"Tran"}</definedName>
    <definedName name="qqqqqqqqqq" hidden="1">{"Riqfin97",#N/A,FALSE,"Tran";"Riqfinpro",#N/A,FALSE,"Tran"}</definedName>
    <definedName name="QTAB7">'[68]Quarterly MacroFlow'!#REF!</definedName>
    <definedName name="QTAB7A">'[68]Quarterly MacroFlow'!#REF!</definedName>
    <definedName name="qua99a">#REF!</definedName>
    <definedName name="qua99b">#REF!</definedName>
    <definedName name="quarterly_GDP">#REF!</definedName>
    <definedName name="quarterly_kroon">#REF!</definedName>
    <definedName name="QW">#REF!</definedName>
    <definedName name="qwer" localSheetId="21" hidden="1">{"Tab1",#N/A,FALSE,"P";"Tab2",#N/A,FALSE,"P"}</definedName>
    <definedName name="qwer" localSheetId="1" hidden="1">{"Tab1",#N/A,FALSE,"P";"Tab2",#N/A,FALSE,"P"}</definedName>
    <definedName name="qwer" localSheetId="0" hidden="1">{"Tab1",#N/A,FALSE,"P";"Tab2",#N/A,FALSE,"P"}</definedName>
    <definedName name="qwer" hidden="1">{"Tab1",#N/A,FALSE,"P";"Tab2",#N/A,FALSE,"P"}</definedName>
    <definedName name="r_ADV">[158]MAIN!$AM$1</definedName>
    <definedName name="r_EME">[158]MAIN!$AM$8</definedName>
    <definedName name="Range_DownloadAnnual">[105]Control!$C$4</definedName>
    <definedName name="Range_DownloadMonth">[105]Control!$C$2</definedName>
    <definedName name="Range_DownloadQuarter">[198]Control!$C$3</definedName>
    <definedName name="RatingsLegend" localSheetId="2">#REF!</definedName>
    <definedName name="RatingsLegend">#REF!</definedName>
    <definedName name="raw">[170]raw!$A$1:$EZ$3500</definedName>
    <definedName name="RawData">#REF!</definedName>
    <definedName name="RawData2">#REF!</definedName>
    <definedName name="rawWEOdata">'[79]WEO data'!$A$3:$BS$19</definedName>
    <definedName name="rawWEOtimeline">'[79]WEO data'!$A$3:$BS$3</definedName>
    <definedName name="RCArea" localSheetId="21" hidden="1">#REF!</definedName>
    <definedName name="RCArea" localSheetId="1" hidden="1">#REF!</definedName>
    <definedName name="RCArea" localSheetId="0" hidden="1">#REF!</definedName>
    <definedName name="RCArea" hidden="1">#REF!</definedName>
    <definedName name="re" hidden="1">#N/A</definedName>
    <definedName name="REAL">#REF!</definedName>
    <definedName name="Real_Estate_Loan_22">'[51]9.3ka'!$A$26:$IV$26</definedName>
    <definedName name="Real_to_BOP">[103]In_sys!$Q$10:$AO$38</definedName>
    <definedName name="REALSUM">#N/A</definedName>
    <definedName name="RealTermsYear">[93]Control!$D$8</definedName>
    <definedName name="Receita_orçamental">[84]DESPESA!$A$7:$IV$7</definedName>
    <definedName name="Reconciliation_A_c_6.">'[51]9.1'!#REF!</definedName>
    <definedName name="Reconciliation_Account_13.">'[51]9.1'!#REF!</definedName>
    <definedName name="_xlnm.Recorder">#REF!</definedName>
    <definedName name="Recovery_of_written_off_Loan_7.">'[51]9.2'!$A$88:$IV$88</definedName>
    <definedName name="REDBOP">#REF!</definedName>
    <definedName name="REDTbl3">#REF!</definedName>
    <definedName name="REDTbl4">#REF!</definedName>
    <definedName name="REDTbl5">#REF!</definedName>
    <definedName name="REDTbl6">#REF!</definedName>
    <definedName name="REDTbl7">#REF!</definedName>
    <definedName name="REDUC">[88]Sheet1!$I$1</definedName>
    <definedName name="ree">{"Main Economic Indicators",#N/A,FALSE,"C"}</definedName>
    <definedName name="refinery_capacity_throughput">[93]Production!$L$152:$AY$155</definedName>
    <definedName name="refinery_capex">[93]Costs!$L$252:$AY$253</definedName>
    <definedName name="Refinery_finance">[93]Control!$D$81:$D$84</definedName>
    <definedName name="refinery_opex">[93]Costs!$L$280:$AY$281</definedName>
    <definedName name="Refinery_Timing">[93]Production!$L$106:$AY$109</definedName>
    <definedName name="Regel">[0]!Regel</definedName>
    <definedName name="RegimeData">[78]RegimeImport!$E$6:$AH$60</definedName>
    <definedName name="RegimeSelect">[78]RegimeImport!$E$5:$AH$5</definedName>
    <definedName name="region">'[123]by year'!$J$6:$J$129</definedName>
    <definedName name="relief17">[199]C!$U$1</definedName>
    <definedName name="Remittance">'[87]Output - Submit'!$C$11</definedName>
    <definedName name="Remittances">'[87]Data-Input'!$G$5</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[80]Control!$C$1</definedName>
    <definedName name="Reporting_CountryCode">[105]Control!$B$28</definedName>
    <definedName name="Reporting_Currency">[80]Control!$C$5</definedName>
    <definedName name="Reporting_Frequency">[80]Control!$C$8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#REF!</definedName>
    <definedName name="Residential_Personal_Home_Loan__Up_to_Rs._10_million__21">'[51]9.3ka'!$A$25:$IV$25</definedName>
    <definedName name="ResultsNames">[200]Country_1!$C$44:$C$1220</definedName>
    <definedName name="Retained_Earning_1.6">'[51]9.1'!#REF!</definedName>
    <definedName name="rettttrr">{"Main Economic Indicators",#N/A,FALSE,"C"}</definedName>
    <definedName name="REV">#REF!</definedName>
    <definedName name="REV97M">[201]revagtrim!#REF!</definedName>
    <definedName name="REV97Q">[201]revagtrim!#REF!</definedName>
    <definedName name="revenue">[88]Sheet3!$A$747:$IV$747</definedName>
    <definedName name="Revisions">[88]Sheet1!$B$4:$M$46</definedName>
    <definedName name="rfr">{"Main Economic Indicators",#N/A,FALSE,"C"}</definedName>
    <definedName name="rft" localSheetId="21" hidden="1">{"Riqfin97",#N/A,FALSE,"Tran";"Riqfinpro",#N/A,FALSE,"Tran"}</definedName>
    <definedName name="rft" localSheetId="1" hidden="1">{"Riqfin97",#N/A,FALSE,"Tran";"Riqfinpro",#N/A,FALSE,"Tran"}</definedName>
    <definedName name="rft" localSheetId="0" hidden="1">{"Riqfin97",#N/A,FALSE,"Tran";"Riqfinpro",#N/A,FALSE,"Tran"}</definedName>
    <definedName name="rft" hidden="1">{"Riqfin97",#N/A,FALSE,"Tran";"Riqfinpro",#N/A,FALSE,"Tran"}</definedName>
    <definedName name="rfv" localSheetId="21" hidden="1">{"Tab1",#N/A,FALSE,"P";"Tab2",#N/A,FALSE,"P"}</definedName>
    <definedName name="rfv" localSheetId="1" hidden="1">{"Tab1",#N/A,FALSE,"P";"Tab2",#N/A,FALSE,"P"}</definedName>
    <definedName name="rfv" localSheetId="0" hidden="1">{"Tab1",#N/A,FALSE,"P";"Tab2",#N/A,FALSE,"P"}</definedName>
    <definedName name="rfv" hidden="1">{"Tab1",#N/A,FALSE,"P";"Tab2",#N/A,FALSE,"P"}</definedName>
    <definedName name="rg">{"Main Economic Indicators",#N/A,FALSE,"C"}</definedName>
    <definedName name="RGCountry1">'[87]Output - Submit'!$C$5</definedName>
    <definedName name="RGDP">[65]SAU!$A$1:$T$37</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[87]lookup!$L$4:$L$9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Before">[151]Main!$AB$26</definedName>
    <definedName name="rngCTYN">'[106]DMX Metadata Values'!$U$2:$W$288</definedName>
    <definedName name="rngDepartmentDrive">[151]Main!$AB$23</definedName>
    <definedName name="rngEMailAddress">[151]Main!$AB$20</definedName>
    <definedName name="rngErrorSort">[151]ErrCheck!$A$4</definedName>
    <definedName name="rngLastSave">[151]Main!$G$19</definedName>
    <definedName name="rngLastSent">[151]Main!$G$18</definedName>
    <definedName name="rngLastUpdate">[151]Links!$D$2</definedName>
    <definedName name="rngNeedsUpdate">[151]Links!$E$2</definedName>
    <definedName name="rngNews">[151]Main!$AB$27</definedName>
    <definedName name="rngQuestChecked">[151]ErrCheck!$A$3</definedName>
    <definedName name="rngVTYN">'[106]DMX Metadata Values'!$W$2:$W$248</definedName>
    <definedName name="Romania">#REF!</definedName>
    <definedName name="RoundFactorLong">4</definedName>
    <definedName name="RoundFactorMed">3</definedName>
    <definedName name="RoundFactorShort">3</definedName>
    <definedName name="Row">#REF!</definedName>
    <definedName name="rr" localSheetId="21" hidden="1">{"Riqfin97",#N/A,FALSE,"Tran";"Riqfinpro",#N/A,FALSE,"Tran"}</definedName>
    <definedName name="rr" localSheetId="1" hidden="1">{"Riqfin97",#N/A,FALSE,"Tran";"Riqfinpro",#N/A,FALSE,"Tran"}</definedName>
    <definedName name="rr" localSheetId="0" hidden="1">{"Riqfin97",#N/A,FALSE,"Tran";"Riqfinpro",#N/A,FALSE,"Tran"}</definedName>
    <definedName name="rr" hidden="1">{"Riqfin97",#N/A,FALSE,"Tran";"Riqfinpro",#N/A,FALSE,"Tran"}</definedName>
    <definedName name="rrr" localSheetId="21" hidden="1">{"Riqfin97",#N/A,FALSE,"Tran";"Riqfinpro",#N/A,FALSE,"Tran"}</definedName>
    <definedName name="rrr" localSheetId="1" hidden="1">{"Riqfin97",#N/A,FALSE,"Tran";"Riqfinpro",#N/A,FALSE,"Tran"}</definedName>
    <definedName name="rrr" localSheetId="0" hidden="1">{"Riqfin97",#N/A,FALSE,"Tran";"Riqfinpro",#N/A,FALSE,"Tran"}</definedName>
    <definedName name="rrr" hidden="1">{"Riqfin97",#N/A,FALSE,"Tran";"Riqfinpro",#N/A,FALSE,"Tran"}</definedName>
    <definedName name="rrrgg" localSheetId="21" hidden="1">{"Riqfin97",#N/A,FALSE,"Tran";"Riqfinpro",#N/A,FALSE,"Tran"}</definedName>
    <definedName name="rrrgg" localSheetId="1" hidden="1">{"Riqfin97",#N/A,FALSE,"Tran";"Riqfinpro",#N/A,FALSE,"Tran"}</definedName>
    <definedName name="rrrgg" localSheetId="0" hidden="1">{"Riqfin97",#N/A,FALSE,"Tran";"Riqfinpro",#N/A,FALSE,"Tran"}</definedName>
    <definedName name="rrrgg" hidden="1">{"Riqfin97",#N/A,FALSE,"Tran";"Riqfinpro",#N/A,FALSE,"Tran"}</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[202]Control!$A$19:$A$20</definedName>
    <definedName name="rrrrrr" localSheetId="21" hidden="1">{"Tab1",#N/A,FALSE,"P";"Tab2",#N/A,FALSE,"P"}</definedName>
    <definedName name="rrrrrr" localSheetId="1" hidden="1">{"Tab1",#N/A,FALSE,"P";"Tab2",#N/A,FALSE,"P"}</definedName>
    <definedName name="rrrrrr" localSheetId="0" hidden="1">{"Tab1",#N/A,FALSE,"P";"Tab2",#N/A,FALSE,"P"}</definedName>
    <definedName name="rrrrrr" hidden="1">{"Tab1",#N/A,FALSE,"P";"Tab2",#N/A,FALSE,"P"}</definedName>
    <definedName name="rrrrrrr" localSheetId="21" hidden="1">{"Tab1",#N/A,FALSE,"P";"Tab2",#N/A,FALSE,"P"}</definedName>
    <definedName name="rrrrrrr" localSheetId="1" hidden="1">{"Tab1",#N/A,FALSE,"P";"Tab2",#N/A,FALSE,"P"}</definedName>
    <definedName name="rrrrrrr" localSheetId="0" hidden="1">{"Tab1",#N/A,FALSE,"P";"Tab2",#N/A,FALSE,"P"}</definedName>
    <definedName name="rrrrrrr" hidden="1">{"Tab1",#N/A,FALSE,"P";"Tab2",#N/A,FALSE,"P"}</definedName>
    <definedName name="rrrrrrrrrr">[202]Control!$C$4</definedName>
    <definedName name="rs">{"BOP_TAB",#N/A,FALSE,"N";"MIDTERM_TAB",#N/A,FALSE,"O";"FUND_CRED",#N/A,FALSE,"P";"DEBT_TAB1",#N/A,FALSE,"Q";"DEBT_TAB2",#N/A,FALSE,"Q";"FORFIN_TAB1",#N/A,FALSE,"R";"FORFIN_TAB2",#N/A,FALSE,"R";"BOP_ANALY",#N/A,FALSE,"U"}</definedName>
    <definedName name="rt" localSheetId="21" hidden="1">{"Minpmon",#N/A,FALSE,"Monthinput"}</definedName>
    <definedName name="rt" localSheetId="1" hidden="1">{"Minpmon",#N/A,FALSE,"Monthinput"}</definedName>
    <definedName name="rt" localSheetId="0" hidden="1">{"Minpmon",#N/A,FALSE,"Monthinput"}</definedName>
    <definedName name="rt" hidden="1">{"Minpmon",#N/A,FALSE,"Monthinput"}</definedName>
    <definedName name="rte" localSheetId="21" hidden="1">{"Riqfin97",#N/A,FALSE,"Tran";"Riqfinpro",#N/A,FALSE,"Tran"}</definedName>
    <definedName name="rte" localSheetId="1" hidden="1">{"Riqfin97",#N/A,FALSE,"Tran";"Riqfinpro",#N/A,FALSE,"Tran"}</definedName>
    <definedName name="rte" localSheetId="0" hidden="1">{"Riqfin97",#N/A,FALSE,"Tran";"Riqfinpro",#N/A,FALSE,"Tran"}</definedName>
    <definedName name="rte" hidden="1">{"Riqfin97",#N/A,FALSE,"Tran";"Riqfinpro",#N/A,FALSE,"Tran"}</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{"Main Economic Indicators",#N/A,FALSE,"C"}</definedName>
    <definedName name="rtre" localSheetId="21" hidden="1">{"Main Economic Indicators",#N/A,FALSE,"C"}</definedName>
    <definedName name="rtre" localSheetId="1" hidden="1">{"Main Economic Indicators",#N/A,FALSE,"C"}</definedName>
    <definedName name="rtre" localSheetId="0" hidden="1">{"Main Economic Indicators",#N/A,FALSE,"C"}</definedName>
    <definedName name="rtre" hidden="1">{"Main Economic Indicators",#N/A,FALSE,"C"}</definedName>
    <definedName name="rty" localSheetId="21" hidden="1">{"Riqfin97",#N/A,FALSE,"Tran";"Riqfinpro",#N/A,FALSE,"Tran"}</definedName>
    <definedName name="rty" localSheetId="1" hidden="1">{"Riqfin97",#N/A,FALSE,"Tran";"Riqfinpro",#N/A,FALSE,"Tran"}</definedName>
    <definedName name="rty" localSheetId="0" hidden="1">{"Riqfin97",#N/A,FALSE,"Tran";"Riqfinpro",#N/A,FALSE,"Tran"}</definedName>
    <definedName name="rty" hidden="1">{"Riqfin97",#N/A,FALSE,"Tran";"Riqfinpro",#N/A,FALSE,"Tran"}</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[79]StochWorkings!$H$3</definedName>
    <definedName name="Rural_Self_Reliance_Fund_2.7">'[51]9.1'!#REF!</definedName>
    <definedName name="Russia">#REF!</definedName>
    <definedName name="Rwvu.Export." localSheetId="21" hidden="1">#REF!,#REF!</definedName>
    <definedName name="Rwvu.Export." localSheetId="1" hidden="1">#REF!,#REF!</definedName>
    <definedName name="Rwvu.Export." localSheetId="0" hidden="1">#REF!,#REF!</definedName>
    <definedName name="Rwvu.Export." hidden="1">#REF!,#REF!</definedName>
    <definedName name="Rwvu.IMPORT." localSheetId="21" hidden="1">#REF!</definedName>
    <definedName name="Rwvu.IMPORT." localSheetId="1" hidden="1">#REF!</definedName>
    <definedName name="Rwvu.IMPORT." localSheetId="0" hidden="1">#REF!</definedName>
    <definedName name="Rwvu.IMPORT." hidden="1">#REF!</definedName>
    <definedName name="Rwvu.PLA2." localSheetId="21" hidden="1">'[75]COP FED'!#REF!</definedName>
    <definedName name="Rwvu.PLA2." localSheetId="1" hidden="1">'[75]COP FED'!#REF!</definedName>
    <definedName name="Rwvu.PLA2." localSheetId="0" hidden="1">'[75]COP FED'!#REF!</definedName>
    <definedName name="Rwvu.PLA2." hidden="1">'[75]COP FED'!#REF!</definedName>
    <definedName name="Rwvu.Print." hidden="1">#N/A</definedName>
    <definedName name="Rwvu.sa97." hidden="1">[138]Rev!$B$1:$B$65536,[138]Rev!$C$1:$D$65536,[138]Rev!$AB$1:$AB$65536,[138]Rev!$L$1:$Q$65536</definedName>
    <definedName name="Rwvu.snh." localSheetId="21" hidden="1">#REF!,#REF!,#REF!,#REF!</definedName>
    <definedName name="Rwvu.snh." hidden="1">#REF!,#REF!,#REF!,#REF!</definedName>
    <definedName name="rx" localSheetId="21" hidden="1">#REF!</definedName>
    <definedName name="rx" localSheetId="1" hidden="1">#REF!</definedName>
    <definedName name="rx" localSheetId="0" hidden="1">#REF!</definedName>
    <definedName name="rx" hidden="1">#REF!</definedName>
    <definedName name="rXDR">[77]CIRRs!$C$109</definedName>
    <definedName name="ry" localSheetId="21" hidden="1">#REF!</definedName>
    <definedName name="ry" localSheetId="1" hidden="1">#REF!</definedName>
    <definedName name="ry" localSheetId="0" hidden="1">#REF!</definedName>
    <definedName name="ry" hidden="1">#REF!</definedName>
    <definedName name="s" localSheetId="21" hidden="1">#REF!</definedName>
    <definedName name="s" localSheetId="1" hidden="1">#REF!</definedName>
    <definedName name="s" localSheetId="0" hidden="1">#REF!</definedName>
    <definedName name="s" hidden="1">#REF!</definedName>
    <definedName name="s_map">[165]Content!$B$78:$C$92</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{"Main Economic Indicators",#N/A,FALSE,"C"}</definedName>
    <definedName name="sad" localSheetId="21" hidden="1">{"Riqfin97",#N/A,FALSE,"Tran";"Riqfinpro",#N/A,FALSE,"Tran"}</definedName>
    <definedName name="sad" localSheetId="1" hidden="1">{"Riqfin97",#N/A,FALSE,"Tran";"Riqfinpro",#N/A,FALSE,"Tran"}</definedName>
    <definedName name="sad" localSheetId="0"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[65]SAU!$A$1:$R$37</definedName>
    <definedName name="SAVE">#REF!</definedName>
    <definedName name="Save_Op">#N/A</definedName>
    <definedName name="SavedResults">[200]Country_1!$E$44:$AO$1220</definedName>
    <definedName name="Saving___Credit_Cooperatives_10.1.2.1.1.3">'[51]9.1'!#REF!</definedName>
    <definedName name="Saving___Credit_Cooperatives_6.1.1.5">'[51]9.1'!#REF!</definedName>
    <definedName name="Saving_Account_1.1.1">'[51]9.2'!$A$7:$IV$7</definedName>
    <definedName name="SBPS">[81]K9!$A$30:$IV$30</definedName>
    <definedName name="SBÜW">[81]K9!$A$32:$IV$32</definedName>
    <definedName name="Scale">[87]lookup!$J$12:$J$13</definedName>
    <definedName name="Scale_Def">[80]Control!$V$42:$V$45</definedName>
    <definedName name="Scale1">'[203]DMX Metadata Values'!$C$2:$C$12</definedName>
    <definedName name="SCEN_E">'[85]Key Assumptions'!#REF!</definedName>
    <definedName name="ScenariosCSV">OFFSET(#REF!,0,0,COUNTA(#REF!),3)</definedName>
    <definedName name="sd">#N/A</definedName>
    <definedName name="sddffd">{"Main Economic Indicators",#N/A,FALSE,"C"}</definedName>
    <definedName name="sdf" localSheetId="21" hidden="1">{"Main Economic Indicators",#N/A,FALSE,"C"}</definedName>
    <definedName name="sdf" localSheetId="1" hidden="1">{"Main Economic Indicators",#N/A,FALSE,"C"}</definedName>
    <definedName name="sdf" localSheetId="0" hidden="1">{"Main Economic Indicators",#N/A,FALSE,"C"}</definedName>
    <definedName name="sdf" hidden="1">{"Main Economic Indicators",#N/A,FALSE,"C"}</definedName>
    <definedName name="sdhighaoidfj">{"macro",#N/A,FALSE,"Macro";"smq2",#N/A,FALSE,"Data";"smq3",#N/A,FALSE,"Data";"smq4",#N/A,FALSE,"Data";"smq5",#N/A,FALSE,"Data";"smq6",#N/A,FALSE,"Data";"smq7",#N/A,FALSE,"Data";"smq8",#N/A,FALSE,"Data";"smq9",#N/A,FALSE,"Data"}</definedName>
    <definedName name="sdkljsdklf" localSheetId="21" hidden="1">{"Main Economic Indicators",#N/A,FALSE,"C"}</definedName>
    <definedName name="sdkljsdklf" localSheetId="1" hidden="1">{"Main Economic Indicators",#N/A,FALSE,"C"}</definedName>
    <definedName name="sdkljsdklf" localSheetId="0" hidden="1">{"Main Economic Indicators",#N/A,FALSE,"C"}</definedName>
    <definedName name="sdkljsdklf" hidden="1">{"Main Economic Indicators",#N/A,FALSE,"C"}</definedName>
    <definedName name="sdlifjwerf">{"macro",#N/A,FALSE,"Macro";"smq2",#N/A,FALSE,"Data";"smq3",#N/A,FALSE,"Data";"smq4",#N/A,FALSE,"Data";"smq5",#N/A,FALSE,"Data";"smq6",#N/A,FALSE,"Data";"smq7",#N/A,FALSE,"Data";"smq8",#N/A,FALSE,"Data";"smq9",#N/A,FALSE,"Data"}</definedName>
    <definedName name="sdr" localSheetId="21" hidden="1">{"Riqfin97",#N/A,FALSE,"Tran";"Riqfinpro",#N/A,FALSE,"Tran"}</definedName>
    <definedName name="sdr" localSheetId="1" hidden="1">{"Riqfin97",#N/A,FALSE,"Tran";"Riqfinpro",#N/A,FALSE,"Tran"}</definedName>
    <definedName name="sdr" localSheetId="0" hidden="1">{"Riqfin97",#N/A,FALSE,"Tran";"Riqfinpro",#N/A,FALSE,"Tran"}</definedName>
    <definedName name="sdr" hidden="1">{"Riqfin97",#N/A,FALSE,"Tran";"Riqfinpro",#N/A,FALSE,"Tran"}</definedName>
    <definedName name="SDRs">#REF!</definedName>
    <definedName name="sds.dr">{"Main Economic Indicators",#N/A,FALSE,"C"}</definedName>
    <definedName name="sdsd" localSheetId="21" hidden="1">{"Riqfin97",#N/A,FALSE,"Tran";"Riqfinpro",#N/A,FALSE,"Tran"}</definedName>
    <definedName name="sdsd" localSheetId="1" hidden="1">{"Riqfin97",#N/A,FALSE,"Tran";"Riqfinpro",#N/A,FALSE,"Tran"}</definedName>
    <definedName name="sdsd" localSheetId="0" hidden="1">{"Riqfin97",#N/A,FALSE,"Tran";"Riqfinpro",#N/A,FALSE,"Tran"}</definedName>
    <definedName name="sdsd" hidden="1">{"Riqfin97",#N/A,FALSE,"Tran";"Riqfinpro",#N/A,FALSE,"Tran"}</definedName>
    <definedName name="SecDiPvSI">'[89]Inv-Pv'!$A$1</definedName>
    <definedName name="Sector">'[106]DMX Metadata Values'!$E$3:$S$3</definedName>
    <definedName name="SEI">#REF!</definedName>
    <definedName name="Sel_Econ_Ind">#REF!</definedName>
    <definedName name="SelectedCase">[93]Control!$D$3</definedName>
    <definedName name="sencount" hidden="1">2</definedName>
    <definedName name="SensCapIntEx">[79]Control!$D$37</definedName>
    <definedName name="SensCapTanEx">[79]Control!$D$36</definedName>
    <definedName name="SensDevEx">[78]Control!$D$46</definedName>
    <definedName name="SensExplore">[78]Control!$D$45</definedName>
    <definedName name="SensGlobalCosts">[78]Control!$D$44</definedName>
    <definedName name="SensOpex">[78]Control!$D$48</definedName>
    <definedName name="SensPrice">[79]Control!$D$32</definedName>
    <definedName name="SensPriceResult">[79]METR!$I$4</definedName>
    <definedName name="SensProd">[78]Control!$D$43</definedName>
    <definedName name="SensSelect">[79]Sensitivity!$F$36</definedName>
    <definedName name="ser" localSheetId="21" hidden="1">{"Riqfin97",#N/A,FALSE,"Tran";"Riqfinpro",#N/A,FALSE,"Tran"}</definedName>
    <definedName name="ser" localSheetId="1" hidden="1">{"Riqfin97",#N/A,FALSE,"Tran";"Riqfinpro",#N/A,FALSE,"Tran"}</definedName>
    <definedName name="ser" localSheetId="0" hidden="1">{"Riqfin97",#N/A,FALSE,"Tran";"Riqfinpro",#N/A,FALSE,"Tran"}</definedName>
    <definedName name="ser" hidden="1">{"Riqfin97",#N/A,FALSE,"Tran";"Riqfinpro",#N/A,FALSE,"Tran"}</definedName>
    <definedName name="Serbia_and_Montenegro">#REF!</definedName>
    <definedName name="Series">"Series"</definedName>
    <definedName name="series_id">#REF!</definedName>
    <definedName name="sevenday">#REF!</definedName>
    <definedName name="Share_Level">'[106]DMX Metadata Values'!$AD$2:$AD$5</definedName>
    <definedName name="Share_Premium_1.5">'[51]9.1'!#REF!</definedName>
    <definedName name="Shared">'[106]DMX Metadata Values'!$AC$2:$AC$3</definedName>
    <definedName name="Shares___Other_Investments_5.">'[51]9.1'!#REF!</definedName>
    <definedName name="SHEETS_TO_HIDE">OFFSET(#REF!,0,0,COUNTA(#REF!)-1,1)</definedName>
    <definedName name="SheetsToCreate">#REF!</definedName>
    <definedName name="SI_spending">[204]Expenditures!$B$2:$R$51</definedName>
    <definedName name="SINGAPORE">[94]SpotExchangeRates!#REF!</definedName>
    <definedName name="Slovak_Republic">#REF!</definedName>
    <definedName name="Slovenia">#REF!</definedName>
    <definedName name="SLSW">[81]K9!$A$19:$IV$19</definedName>
    <definedName name="SLÜT">[81]K7!$A$20:$IV$20</definedName>
    <definedName name="SmallestNonZeroValue">0.00001</definedName>
    <definedName name="SMINUSI">'[89]MT-SCENA'!$A$1:$L$60</definedName>
    <definedName name="Social_Indicators">'[106]DMX Metadata Values'!$S$4</definedName>
    <definedName name="solver_lin" hidden="1">0</definedName>
    <definedName name="solver_num" hidden="1">0</definedName>
    <definedName name="solver_typ" hidden="1">1</definedName>
    <definedName name="solver_val" hidden="1">0</definedName>
    <definedName name="SOZS">[81]K5!$A$11:$IV$11</definedName>
    <definedName name="SP_spending">[204]Expenditures!$B$52:$R$104</definedName>
    <definedName name="Spain">#REF!</definedName>
    <definedName name="Special_Loan_Loss_Provision_7.1.2">'[51]9.2'!$A$36:$IV$36</definedName>
    <definedName name="SpecialPrice" localSheetId="21" hidden="1">#REF!</definedName>
    <definedName name="SpecialPrice" localSheetId="1" hidden="1">#REF!</definedName>
    <definedName name="SpecialPrice" localSheetId="0" hidden="1">#REF!</definedName>
    <definedName name="SpecialPrice" hidden="1">#REF!</definedName>
    <definedName name="SQL_connection_name">#REF!</definedName>
    <definedName name="SQL_statement">#REF!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#REF!</definedName>
    <definedName name="SR_table">#REF!</definedName>
    <definedName name="sraff" localSheetId="21" hidden="1">{"CBA",#N/A,FALSE,"TAB4";"MS",#N/A,FALSE,"TAB5";"BANKLOANS",#N/A,FALSE,"TAB21APP ";"INTEREST",#N/A,FALSE,"TAB22APP"}</definedName>
    <definedName name="sraff" localSheetId="1" hidden="1">{"CBA",#N/A,FALSE,"TAB4";"MS",#N/A,FALSE,"TAB5";"BANKLOANS",#N/A,FALSE,"TAB21APP ";"INTEREST",#N/A,FALSE,"TAB22APP"}</definedName>
    <definedName name="sraff" localSheetId="0" hidden="1">{"CBA",#N/A,FALSE,"TAB4";"MS",#N/A,FALSE,"TAB5";"BANKLOANS",#N/A,FALSE,"TAB21APP ";"INTEREST",#N/A,FALSE,"TAB22APP"}</definedName>
    <definedName name="sraff" hidden="1">{"CBA",#N/A,FALSE,"TAB4";"MS",#N/A,FALSE,"TAB5";"BANKLOANS",#N/A,FALSE,"TAB21APP ";"INTEREST",#N/A,FALSE,"TAB22APP"}</definedName>
    <definedName name="srf">#REF!</definedName>
    <definedName name="SRTable">[205]t1!$A$3:$I$101</definedName>
    <definedName name="SRTable2">[206]t1!$A$3:$I$101</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1">#REF!</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0" hidden="1">{#N/A,#N/A,FALSE,"B061196P";#N/A,#N/A,FALSE,"B061196";#N/A,#N/A,FALSE,"Relatório1";#N/A,#N/A,FALSE,"Relatório2";#N/A,#N/A,FALSE,"Relatório3";#N/A,#N/A,FALSE,"Relatório4 ";#N/A,#N/A,FALSE,"Relatório5";#N/A,#N/A,FALSE,"Relatório6";#N/A,#N/A,FALSE,"Relatório7";#N/A,#N/A,FALSE,"Relatório8"}</definedName>
    <definedName name="SS">[207]IMATA!$B$45:$B$108</definedName>
    <definedName name="ssss" localSheetId="21" hidden="1">{"Riqfin97",#N/A,FALSE,"Tran";"Riqfinpro",#N/A,FALSE,"Tran"}</definedName>
    <definedName name="ssss" localSheetId="1" hidden="1">{"Riqfin97",#N/A,FALSE,"Tran";"Riqfinpro",#N/A,FALSE,"Tran"}</definedName>
    <definedName name="ssss" localSheetId="0" hidden="1">{"Riqfin97",#N/A,FALSE,"Tran";"Riqfinpro",#N/A,FALSE,"Tran"}</definedName>
    <definedName name="ssss" hidden="1">{"Riqfin97",#N/A,FALSE,"Tran";"Riqfinpro",#N/A,FALSE,"Tran"}</definedName>
    <definedName name="Staff_Expense_3.">'[51]9.2'!$A$20:$IV$20</definedName>
    <definedName name="Staff_Loan_Advance_10.3">'[51]9.1'!#REF!</definedName>
    <definedName name="Start">[79]StochWorkings!$M$3</definedName>
    <definedName name="StateList">#REF!</definedName>
    <definedName name="Stationary_Stock_10.2">'[51]9.1'!#REF!</definedName>
    <definedName name="std">#REF!</definedName>
    <definedName name="stdk">#REF!</definedName>
    <definedName name="StochConstant">[78]Control!$D$35</definedName>
    <definedName name="StochFactor">[78]Control!$D$36</definedName>
    <definedName name="StochMax">[78]Control!$D$38</definedName>
    <definedName name="StochMin">[78]Control!$D$39</definedName>
    <definedName name="StochStdDev">[78]Control!$D$37</definedName>
    <definedName name="STOCK">[196]STOCK!$D$4:$K$69</definedName>
    <definedName name="Stop">[79]StochWorkings!$O$3</definedName>
    <definedName name="struc">#REF!</definedName>
    <definedName name="strucLoans">#REF!</definedName>
    <definedName name="STUB">#REF!</definedName>
    <definedName name="STVJ">[81]K3!$A$9:$IV$9</definedName>
    <definedName name="SUBS">[81]K4!$A$12:$IV$12</definedName>
    <definedName name="SuchBereichAlteBL">'[86]02_Berwerte_ABL'!$O$69:$S$96</definedName>
    <definedName name="Suffix">[208]Contents!$C$15</definedName>
    <definedName name="Summary">#REF!</definedName>
    <definedName name="SUMMARY1">#REF!</definedName>
    <definedName name="SUMMARY2">#REF!</definedName>
    <definedName name="SumSumTbl">#REF!</definedName>
    <definedName name="SumTolerance">0.005</definedName>
    <definedName name="Sundry_Creditors_5.1">'[51]9.1'!#REF!</definedName>
    <definedName name="Sundry_Debtors_10.4">'[51]9.1'!#REF!</definedName>
    <definedName name="Supplement">#REF!</definedName>
    <definedName name="survey">#REF!</definedName>
    <definedName name="swe" localSheetId="21" hidden="1">{"Tab1",#N/A,FALSE,"P";"Tab2",#N/A,FALSE,"P"}</definedName>
    <definedName name="swe" localSheetId="1" hidden="1">{"Tab1",#N/A,FALSE,"P";"Tab2",#N/A,FALSE,"P"}</definedName>
    <definedName name="swe" localSheetId="0" hidden="1">{"Tab1",#N/A,FALSE,"P";"Tab2",#N/A,FALSE,"P"}</definedName>
    <definedName name="swe" hidden="1">{"Tab1",#N/A,FALSE,"P";"Tab2",#N/A,FALSE,"P"}</definedName>
    <definedName name="Sweden">#REF!</definedName>
    <definedName name="Swvu.PLA1." localSheetId="21" hidden="1">'[75]COP FED'!#REF!</definedName>
    <definedName name="Swvu.PLA1." hidden="1">'[75]COP FED'!#REF!</definedName>
    <definedName name="Swvu.PLA2." hidden="1">'[75]COP FED'!$A$1:$N$49</definedName>
    <definedName name="Swvu.Print." hidden="1">[76]Med!#REF!</definedName>
    <definedName name="Swvu.snh." localSheetId="21" hidden="1">#REF!</definedName>
    <definedName name="Swvu.snh." hidden="1">#REF!</definedName>
    <definedName name="sxc" localSheetId="21" hidden="1">{"Riqfin97",#N/A,FALSE,"Tran";"Riqfinpro",#N/A,FALSE,"Tran"}</definedName>
    <definedName name="sxc" localSheetId="1" hidden="1">{"Riqfin97",#N/A,FALSE,"Tran";"Riqfinpro",#N/A,FALSE,"Tran"}</definedName>
    <definedName name="sxc" localSheetId="0" hidden="1">{"Riqfin97",#N/A,FALSE,"Tran";"Riqfinpro",#N/A,FALSE,"Tran"}</definedName>
    <definedName name="sxc" hidden="1">{"Riqfin97",#N/A,FALSE,"Tran";"Riqfinpro",#N/A,FALSE,"Tran"}</definedName>
    <definedName name="sxe" localSheetId="21" hidden="1">{"Riqfin97",#N/A,FALSE,"Tran";"Riqfinpro",#N/A,FALSE,"Tran"}</definedName>
    <definedName name="sxe" localSheetId="1" hidden="1">{"Riqfin97",#N/A,FALSE,"Tran";"Riqfinpro",#N/A,FALSE,"Tran"}</definedName>
    <definedName name="sxe" localSheetId="0" hidden="1">{"Riqfin97",#N/A,FALSE,"Tran";"Riqfinpro",#N/A,FALSE,"Tran"}</definedName>
    <definedName name="sxe" hidden="1">{"Riqfin97",#N/A,FALSE,"Tran";"Riqfinpro",#N/A,FALSE,"Tran"}</definedName>
    <definedName name="t">[2]EAT12_1!#REF!,[2]EAT12_1!#REF!,[2]EAT12_1!#REF!,[2]EAT12_1!#REF!,[2]EAT12_1!#REF!,[2]EAT12_1!#REF!,[2]EAT12_1!#REF!,[2]EAT12_1!#REF!,[2]EAT12_1!#REF!,[2]EAT12_1!#REF!</definedName>
    <definedName name="T0" localSheetId="21" hidden="1">{"Main Economic Indicators",#N/A,FALSE,"C"}</definedName>
    <definedName name="T0" localSheetId="1" hidden="1">{"Main Economic Indicators",#N/A,FALSE,"C"}</definedName>
    <definedName name="T0" localSheetId="0" hidden="1">{"Main Economic Indicators",#N/A,FALSE,"C"}</definedName>
    <definedName name="T0" hidden="1">{"Main Economic Indicators",#N/A,FALSE,"C"}</definedName>
    <definedName name="T1_KJ_1991_1993_HJ_1991_1_1993_2">[209]!T1_KJ_1991_1993_HJ_1991_1_1993_2</definedName>
    <definedName name="T1_KJ_1994_1996_HJ_1994_1_1996_2">[209]!T1_KJ_1994_1996_HJ_1994_1_1996_2</definedName>
    <definedName name="T1_KJ_1997_1999_HJ_1997_1_1999_2">[209]!T1_KJ_1997_1999_HJ_1997_1_1999_2</definedName>
    <definedName name="T1_KJ_HJ_VÄ_rate_1992_1994">[209]!T1_KJ_HJ_VÄ_rate_1992_1994</definedName>
    <definedName name="T1_KJ_HJ_VÄ_rate_1995_1997">[209]!T1_KJ_HJ_VÄ_rate_1995_1997</definedName>
    <definedName name="T1_VJ_1991_1_1992_4">[209]!T1_VJ_1991_1_1992_4</definedName>
    <definedName name="T1_VJ_1993_1_1994_4">[209]!T1_VJ_1993_1_1994_4</definedName>
    <definedName name="T1_VJ_1995_1_1996_4">[209]!T1_VJ_1995_1_1996_4</definedName>
    <definedName name="T1_VJ_1997_1_1998_4">[209]!T1_VJ_1997_1_1998_4</definedName>
    <definedName name="T1_VJ_VÄ_rate_1992_1_1993_4">[209]!T1_VJ_VÄ_rate_1992_1_1993_4</definedName>
    <definedName name="T1_VJ_VÄ_rate_1994_1_1995_4">[209]!T1_VJ_VÄ_rate_1994_1_1995_4</definedName>
    <definedName name="T1_VJ_VÄ_rate_1996_1_1997_4">[209]!T1_VJ_VÄ_rate_1996_1_1997_4</definedName>
    <definedName name="T2_KJ_1991_1993_HJ_1991_1_1993_2">[209]!T2_KJ_1991_1993_HJ_1991_1_1993_2</definedName>
    <definedName name="T2_KJ_1994_1996_HJ_1994_1_1996_2">[209]!T2_KJ_1994_1996_HJ_1994_1_1996_2</definedName>
    <definedName name="T2_KJ_1997_1999_HJ_1997_1_1999_2">[209]!T2_KJ_1997_1999_HJ_1997_1_1999_2</definedName>
    <definedName name="T2_KJ_HJ_VÄ_rate_1992_1994">[209]!T2_KJ_HJ_VÄ_rate_1992_1994</definedName>
    <definedName name="T2_KJ_HJ_VÄ_rate_1995_1997">[209]!T2_KJ_HJ_VÄ_rate_1995_1997</definedName>
    <definedName name="T2_VJ_1991_1_1992_4">[209]!T2_VJ_1991_1_1992_4</definedName>
    <definedName name="T2_VJ_1993_1_1994_4">[209]!T2_VJ_1993_1_1994_4</definedName>
    <definedName name="T2_VJ_1995_1_1996_4">[209]!T2_VJ_1995_1_1996_4</definedName>
    <definedName name="T2_VJ_1997_1_1998_4">[209]!T2_VJ_1997_1_1998_4</definedName>
    <definedName name="T2_VJ_VÄ_rate_1992_1_1993_4">[209]!T2_VJ_VÄ_rate_1992_1_1993_4</definedName>
    <definedName name="T2_VJ_VÄ_rate_1994_1_1995_4">[209]!T2_VJ_VÄ_rate_1994_1_1995_4</definedName>
    <definedName name="T2_VJ_VÄ_rate_1996_1_1997_4">[209]!T2_VJ_VÄ_rate_1996_1_1997_4</definedName>
    <definedName name="T21_KJ_1991_1993_HJ_1991_1_1993_2">[209]!T21_KJ_1991_1993_HJ_1991_1_1993_2</definedName>
    <definedName name="T21_KJ_1994_1996_HJ_1994_1_1996_2">[209]!T21_KJ_1994_1996_HJ_1994_1_1996_2</definedName>
    <definedName name="T21_KJ_1997_1999_HJ_1997_1_1999_2">[209]!T21_KJ_1997_1999_HJ_1997_1_1999_2</definedName>
    <definedName name="T21_KJ_HJ_VÄ_rate_1992_1994">[209]!T21_KJ_HJ_VÄ_rate_1992_1994</definedName>
    <definedName name="T21_KJ_HJ_VÄ_rate_1995_1997">[209]!T21_KJ_HJ_VÄ_rate_1995_1997</definedName>
    <definedName name="T21_VJ_1991_1_1992_4">[209]!T21_VJ_1991_1_1992_4</definedName>
    <definedName name="T21_VJ_1993_1_1994_4">[209]!T21_VJ_1993_1_1994_4</definedName>
    <definedName name="T21_VJ_1995_1_1996_4">[209]!T21_VJ_1995_1_1996_4</definedName>
    <definedName name="T21_VJ_1997_1_1998_4">[209]!T21_VJ_1997_1_1998_4</definedName>
    <definedName name="T21_VJ_VÄ_rate_1992_1_1993_4">[209]!T21_VJ_VÄ_rate_1992_1_1993_4</definedName>
    <definedName name="T21_VJ_VÄ_rate_1994_1_1995_4">[209]!T21_VJ_VÄ_rate_1994_1_1995_4</definedName>
    <definedName name="T21_VJ_VÄ_rate_1996_1_1997_4">[209]!T21_VJ_VÄ_rate_1996_1_1997_4</definedName>
    <definedName name="T31_KJ_1991_1993_HJ_1991_1_1993_2">[209]!T31_KJ_1991_1993_HJ_1991_1_1993_2</definedName>
    <definedName name="T31_KJ_1994_1996_HJ_1994_1_1996_2">[209]!T31_KJ_1994_1996_HJ_1994_1_1996_2</definedName>
    <definedName name="T31_KJ_1997_1999_HJ_1997_1_1999_2">[209]!T31_KJ_1997_1999_HJ_1997_1_1999_2</definedName>
    <definedName name="T31_KJ_HJ_VÄ_rate_1992_1994">[209]!T31_KJ_HJ_VÄ_rate_1992_1994</definedName>
    <definedName name="T31_KJ_HJ_VÄ_rate_1995_1997">[209]!T31_KJ_HJ_VÄ_rate_1995_1997</definedName>
    <definedName name="T31_VJ_1991_1_1992_4">[209]!T31_VJ_1991_1_1992_4</definedName>
    <definedName name="T31_VJ_1993_1_1994_4">[209]!T31_VJ_1993_1_1994_4</definedName>
    <definedName name="T31_VJ_1995_1_1996_4">[209]!T31_VJ_1995_1_1996_4</definedName>
    <definedName name="T31_VJ_1997_1_1998_4">[209]!T31_VJ_1997_1_1998_4</definedName>
    <definedName name="T31_VJ_VÄ_rate_1992_1_1993_4">[209]!T31_VJ_VÄ_rate_1992_1_1993_4</definedName>
    <definedName name="T31_VJ_VÄ_rate_1994_1_1995_4">[209]!T31_VJ_VÄ_rate_1994_1_1995_4</definedName>
    <definedName name="T31_VJ_VÄ_rate_1996_1_1997_4">[209]!T31_VJ_VÄ_rate_1996_1_1997_4</definedName>
    <definedName name="T32_KJ_1991_1993_HJ_1991_1_1993_2">[209]!T32_KJ_1991_1993_HJ_1991_1_1993_2</definedName>
    <definedName name="T32_KJ_1994_1996_HJ_1994_1_1996_2">[209]!T32_KJ_1994_1996_HJ_1994_1_1996_2</definedName>
    <definedName name="T32_KJ_1997_1999_HJ_1997_1_1999_2">[209]!T32_KJ_1997_1999_HJ_1997_1_1999_2</definedName>
    <definedName name="T32_KJ_HJ_VÄ_rate_1992_1994">[209]!T32_KJ_HJ_VÄ_rate_1992_1994</definedName>
    <definedName name="T32_KJ_HJ_VÄ_rate_1995_1997">[209]!T32_KJ_HJ_VÄ_rate_1995_1997</definedName>
    <definedName name="T32_VJ_1991_1_1992_4">[209]!T32_VJ_1991_1_1992_4</definedName>
    <definedName name="T32_VJ_1993_1_1994_4">[209]!T32_VJ_1993_1_1994_4</definedName>
    <definedName name="T32_VJ_1995_1_1996_4">[209]!T32_VJ_1995_1_1996_4</definedName>
    <definedName name="T32_VJ_1997_1_1998_4">[209]!T32_VJ_1997_1_1998_4</definedName>
    <definedName name="T32_VJ_VÄ_rate_1992_1_1993_4">[209]!T32_VJ_VÄ_rate_1992_1_1993_4</definedName>
    <definedName name="T32_VJ_VÄ_rate_1994_1_1995_4">[209]!T32_VJ_VÄ_rate_1994_1_1995_4</definedName>
    <definedName name="T32_VJ_VÄ_rate_1996_1_1997_4">[209]!T32_VJ_VÄ_rate_1996_1_1997_4</definedName>
    <definedName name="T4_KJ_1991_1993_HJ_1991_1_1993_2">[209]!T4_KJ_1991_1993_HJ_1991_1_1993_2</definedName>
    <definedName name="T4_KJ_1994_1996_HJ_1994_1_1996_2">[209]!T4_KJ_1994_1996_HJ_1994_1_1996_2</definedName>
    <definedName name="T4_KJ_1997_1999_HJ_1997_1_1999_2">[209]!T4_KJ_1997_1999_HJ_1997_1_1999_2</definedName>
    <definedName name="T4_KJ_HJ_VÄ_rate_1992_1994">[209]!T4_KJ_HJ_VÄ_rate_1992_1994</definedName>
    <definedName name="T4_KJ_HJ_VÄ_rate_1995_1997">[209]!T4_KJ_HJ_VÄ_rate_1995_1997</definedName>
    <definedName name="T4_VJ_1991_1_1992_4">[209]!T4_VJ_1991_1_1992_4</definedName>
    <definedName name="T4_VJ_1993_1_1994_4">[209]!T4_VJ_1993_1_1994_4</definedName>
    <definedName name="T4_VJ_1995_1_1996_4">[209]!T4_VJ_1995_1_1996_4</definedName>
    <definedName name="T4_VJ_1997_1_1998_4">[209]!T4_VJ_1997_1_1998_4</definedName>
    <definedName name="T4_VJ_VÄ_rate_1992_1_1993_4">[209]!T4_VJ_VÄ_rate_1992_1_1993_4</definedName>
    <definedName name="T4_VJ_VÄ_rate_1994_1_1995_4">[209]!T4_VJ_VÄ_rate_1994_1_1995_4</definedName>
    <definedName name="T4_VJ_VÄ_rate_1996_1_1997_4">[209]!T4_VJ_VÄ_rate_1996_1_1997_4</definedName>
    <definedName name="t4wh">{#N/A,#N/A,FALSE,"EMP_POP";#N/A,#N/A,FALSE,"UNEMPL"}</definedName>
    <definedName name="T5_KJ_1991_1993_HJ_1991_1_1993_2">[209]!T5_KJ_1991_1993_HJ_1991_1_1993_2</definedName>
    <definedName name="T5_KJ_1994_1996_HJ_1994_1_1996_2">[209]!T5_KJ_1994_1996_HJ_1994_1_1996_2</definedName>
    <definedName name="T5_KJ_1997_1999_HJ_1997_1_1999_2">[209]!T5_KJ_1997_1999_HJ_1997_1_1999_2</definedName>
    <definedName name="T5_KJ_HJ_VÄ_rate_1992_1994">[209]!T5_KJ_HJ_VÄ_rate_1992_1994</definedName>
    <definedName name="T5_KJ_HJ_VÄ_rate_1995_1997">[209]!T5_KJ_HJ_VÄ_rate_1995_1997</definedName>
    <definedName name="T5_VJ_1991_1_1992_4">[209]!T5_VJ_1991_1_1992_4</definedName>
    <definedName name="T5_VJ_1993_1_1994_4">[209]!T5_VJ_1993_1_1994_4</definedName>
    <definedName name="T5_VJ_1995_1_1996_4">[209]!T5_VJ_1995_1_1996_4</definedName>
    <definedName name="T5_VJ_1997_1_1998_4">[209]!T5_VJ_1997_1_1998_4</definedName>
    <definedName name="T5_VJ_VÄ_rate_1992_1_1993_4">[209]!T5_VJ_VÄ_rate_1992_1_1993_4</definedName>
    <definedName name="T5_VJ_VÄ_rate_1994_1_1995_4">[209]!T5_VJ_VÄ_rate_1994_1_1995_4</definedName>
    <definedName name="T5_VJ_VÄ_rate_1996_1_1997_4">[209]!T5_VJ_VÄ_rate_1996_1_1997_4</definedName>
    <definedName name="TAB14NOTE">#REF!</definedName>
    <definedName name="tab17bop">#REF!</definedName>
    <definedName name="TAB1A">#REF!</definedName>
    <definedName name="TAB1CK">#REF!</definedName>
    <definedName name="tab2000b">'[67]SR Table 2'!#REF!</definedName>
    <definedName name="Tab25a">#REF!</definedName>
    <definedName name="Tab25b">#REF!</definedName>
    <definedName name="TAB2A">#REF!</definedName>
    <definedName name="TAB4APPX">'[195]Table 5'!$A$2:$I$55</definedName>
    <definedName name="TAB5A">#REF!</definedName>
    <definedName name="TAB6A">'[68]Annual Tables'!#REF!</definedName>
    <definedName name="TAB6B">'[68]Annual Tables'!#REF!</definedName>
    <definedName name="TAB6C">#REF!</definedName>
    <definedName name="TAB7A">#REF!</definedName>
    <definedName name="TabES">#REF!</definedName>
    <definedName name="Table" localSheetId="4">"Table"</definedName>
    <definedName name="Table" localSheetId="24">"Table"</definedName>
    <definedName name="Table" localSheetId="13">"Table"</definedName>
    <definedName name="Table" localSheetId="14">"Table"</definedName>
    <definedName name="Table" localSheetId="16">"Table"</definedName>
    <definedName name="Table" localSheetId="17">"Table"</definedName>
    <definedName name="Table" localSheetId="19">"Table"</definedName>
    <definedName name="Table" localSheetId="20">"Table"</definedName>
    <definedName name="Table" localSheetId="21">"Table"</definedName>
    <definedName name="Table" localSheetId="6">"Table"</definedName>
    <definedName name="Table" localSheetId="7">"Table"</definedName>
    <definedName name="Table" localSheetId="8">"Table"</definedName>
    <definedName name="Table" localSheetId="9">"Table"</definedName>
    <definedName name="Table" localSheetId="10">"Table"</definedName>
    <definedName name="Table" localSheetId="11">"Table"</definedName>
    <definedName name="Table" localSheetId="12">"Table"</definedName>
    <definedName name="Table" localSheetId="2">"Table"</definedName>
    <definedName name="Table" localSheetId="3">"Table"</definedName>
    <definedName name="Table">"Table"</definedName>
    <definedName name="Table___.__Estonia___Consolidated_Account_for_the_Rest_of_the_Banking_System__1992_97_1">#REF!</definedName>
    <definedName name="Table___.__Estonia___Consolidated_Account_for_the_Rest_of_the_Banking_System__1994_97">#REF!</definedName>
    <definedName name="Table__47">[210]RED47!$A$1:$I$53</definedName>
    <definedName name="Table_1">#REF!</definedName>
    <definedName name="Table_1.__Egypt__Monetary_Indicators__1993_94_1997_98">#REF!</definedName>
    <definedName name="Table_1._Egypt__Selected_Economic_and_Financial_Indicators__1993_94_1998_99">#REF!</definedName>
    <definedName name="Table_10._Senegal__Millennium_Development_Goals__concluded">"#REF!,#REF!"</definedName>
    <definedName name="Table_11">[205]tx!$A$13:$N$89</definedName>
    <definedName name="Table_12">[205]tx!$A$92:$N$166</definedName>
    <definedName name="Table_13">[205]tx!$A$169:$N$228</definedName>
    <definedName name="Table_14">[205]tx!$A$232:$N$286</definedName>
    <definedName name="Table_15">[205]tx!$A$290:$N$313</definedName>
    <definedName name="Table_16">[205]tx!$A$318:$K$365</definedName>
    <definedName name="Table_2">#REF!</definedName>
    <definedName name="Table_2.__Oman___Gross_Domestic_Product_by_Sector_of_Origin_at_Constant_Prices">"GDPCO_00"</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_Guinea___Monetary_Survey__1999_2001">[142]outsheet!$A$6:$AM$82</definedName>
    <definedName name="Table_4SR">#REF!</definedName>
    <definedName name="Table_5.___Estonia____Monetary_Authorities__1994_98__1">#REF!</definedName>
    <definedName name="Table_5.__Estonia__Estimated_Fiscal_Impact_of_Proposed_Tax_Policy_Changes_for_2000">#REF!</definedName>
    <definedName name="Table_5.__Senegal__Quarterly_Government_Financial_Operations__2005">[211]T5!$A$1:$AE$100</definedName>
    <definedName name="Table_6.__Moldova__Balance_of_Payments__1994_98">#REF!</definedName>
    <definedName name="table_7">'[67]SR Table 2'!#REF!</definedName>
    <definedName name="Table_7._Senegal___Monetary_Survey__2001_06">[212]T7!$A$1:$AX$70</definedName>
    <definedName name="Table_debt">#REF!</definedName>
    <definedName name="TABLE_PRINT">#REF!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'[67]SR Table 2'!#REF!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'[190]Monetary Inputs'!#REF!</definedName>
    <definedName name="TABLE4">#REF!</definedName>
    <definedName name="TABLE46">#REF!</definedName>
    <definedName name="table498">#REF!</definedName>
    <definedName name="TABLE4A">'[190]Monetary Inputs'!#REF!</definedName>
    <definedName name="TABLE5">#REF!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'[195]Table 6'!$A$1:$AG$96</definedName>
    <definedName name="TABLE7">#REF!</definedName>
    <definedName name="TABLE8">#REF!</definedName>
    <definedName name="TABLE9">#REF!</definedName>
    <definedName name="TableOrder">#REF!</definedName>
    <definedName name="tableSR">#REF!</definedName>
    <definedName name="TABLEW">[89]GDPprj!$A$1:$Z$108</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[94]SpotExchangeRates!#REF!</definedName>
    <definedName name="TAME">#REF!</definedName>
    <definedName name="Target_Post_Tax_Return">#REF!</definedName>
    <definedName name="tat">#REF!</definedName>
    <definedName name="Taxa_cambio_média_trimestral_2001">'[213]Orç Prog 2001'!$A$190:$IV$190</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[214]StRp_Tbl1!$B$4:$AF$109</definedName>
    <definedName name="TB_SR_2">#REF!</definedName>
    <definedName name="TB_Sub">[72]CGExp!$B$135:$CL$192</definedName>
    <definedName name="TB_Subsd">#REF!</definedName>
    <definedName name="Tb_Tax_3year">[72]TaxRev!$A$2:$L$66</definedName>
    <definedName name="TB_Taxes">'[72]JunPrg_9899&amp;beyond'!$A$487:$AE$559</definedName>
    <definedName name="TB1_x">#REF!</definedName>
    <definedName name="TB1_xx">#REF!</definedName>
    <definedName name="TB1b">[72]SummaryCG!$A$79:$CL$150</definedName>
    <definedName name="TB1b_x">#REF!</definedName>
    <definedName name="TB2b">[72]CGRev!$A$57:$CL$99</definedName>
    <definedName name="TB3b">[72]CGExp!$B$284:$CL$356</definedName>
    <definedName name="TB5b">[72]CGAuthMeth!$B$174:$CL$223</definedName>
    <definedName name="TB6b">[72]CGAuthMeth!$B$231:$CL$297</definedName>
    <definedName name="TB7b">[72]CGFin_Monthly!$B$92:$AC$142</definedName>
    <definedName name="TBDM">[182]DBMALLES!$A$842:$IP$842</definedName>
    <definedName name="TBIOM">[182]DBMALLES!$A$843:$IP$843</definedName>
    <definedName name="TBIWM">[182]DBMALLES!$A$844:$IP$844</definedName>
    <definedName name="Tbl_1_Comparison" localSheetId="21" hidden="1">#REF!</definedName>
    <definedName name="Tbl_1_Comparison" hidden="1">#REF!</definedName>
    <definedName name="Tbl_GFN">[215]Table_GEF!$B$2:$T$53</definedName>
    <definedName name="tbl_ProdInfo" localSheetId="21" hidden="1">#REF!</definedName>
    <definedName name="tbl_ProdInfo" localSheetId="1" hidden="1">#REF!</definedName>
    <definedName name="tbl_ProdInfo" localSheetId="0" hidden="1">#REF!</definedName>
    <definedName name="tbl_ProdInfo" hidden="1">#REF!</definedName>
    <definedName name="tblChecks">[151]ErrCheck!$A$3:$E$5</definedName>
    <definedName name="tblLinks">[151]Links!$A$4:$F$33</definedName>
    <definedName name="TBPRJ4">#REF!</definedName>
    <definedName name="TBRDM">[182]DBMALLES!$A$845:$IP$845</definedName>
    <definedName name="Tbs1thr4">#REF!</definedName>
    <definedName name="TBSTR">[182]DBMALLES!$A$1177:$IP$1177</definedName>
    <definedName name="TDao" localSheetId="21" hidden="1">#REF!</definedName>
    <definedName name="TDao" hidden="1">#REF!</definedName>
    <definedName name="TDGSTR">[182]DBMALLES!$A$1178:$IP$1178</definedName>
    <definedName name="TDIR">[81]K81!$A$30:$IV$30</definedName>
    <definedName name="TEGBM">[182]DBMALLES!$A$846:$IP$846</definedName>
    <definedName name="TEGUM">[182]DBMALLES!$A$847:$IP$847</definedName>
    <definedName name="TEGZM">[182]DBMALLES!$A$848:$IP$848</definedName>
    <definedName name="tenou" localSheetId="21" hidden="1">'[26]Dep fonct'!#REF!</definedName>
    <definedName name="tenou" localSheetId="1" hidden="1">'[26]Dep fonct'!#REF!</definedName>
    <definedName name="tenou" localSheetId="0" hidden="1">'[26]Dep fonct'!#REF!</definedName>
    <definedName name="tenou" hidden="1">'[26]Dep fonct'!#REF!</definedName>
    <definedName name="Term_Loan_1">'[51]9.3ka'!$A$5:$IV$5</definedName>
    <definedName name="teset">{#N/A,#N/A,FALSE,"SimInp1";#N/A,#N/A,FALSE,"SimInp2";#N/A,#N/A,FALSE,"SimOut1";#N/A,#N/A,FALSE,"SimOut2";#N/A,#N/A,FALSE,"SimOut3";#N/A,#N/A,FALSE,"SimOut4";#N/A,#N/A,FALSE,"SimOut5"}</definedName>
    <definedName name="test" localSheetId="21" hidden="1">{"Riqfin97",#N/A,FALSE,"Tran";"Riqfinpro",#N/A,FALSE,"Tran"}</definedName>
    <definedName name="test" localSheetId="1" hidden="1">{"Riqfin97",#N/A,FALSE,"Tran";"Riqfinpro",#N/A,FALSE,"Tran"}</definedName>
    <definedName name="test" localSheetId="0" hidden="1">{"Riqfin97",#N/A,FALSE,"Tran";"Riqfinpro",#N/A,FALSE,"Tran"}</definedName>
    <definedName name="test" hidden="1">{"Riqfin97",#N/A,FALSE,"Tran";"Riqfinpro",#N/A,FALSE,"Tran"}</definedName>
    <definedName name="TGEOM">[182]DBMALLES!$A$849:$IP$849</definedName>
    <definedName name="TGEWM">[182]DBMALLES!$A$850:$IP$850</definedName>
    <definedName name="TGROM">[182]DBMALLES!$A$851:$IP$851</definedName>
    <definedName name="TGRWM">[182]DBMALLES!$A$852:$IP$852</definedName>
    <definedName name="TGSIECATS">#REF!</definedName>
    <definedName name="TGUOM">[182]DBMALLES!$A$853:$IP$853</definedName>
    <definedName name="TGUWM">[182]DBMALLES!$A$854:$IP$854</definedName>
    <definedName name="Thailand">#REF!</definedName>
    <definedName name="thousand">1000</definedName>
    <definedName name="TIND">[81]K82!$A$33:$IV$33</definedName>
    <definedName name="titi">([216]Petrol!$B$7:$C$7,[216]Petrol!$F$7:$G$7,[216]Petrol!$J$7:$K$7,[216]Petrol!$N$7)</definedName>
    <definedName name="tj" localSheetId="21" hidden="1">{"Riqfin97",#N/A,FALSE,"Tran";"Riqfinpro",#N/A,FALSE,"Tran"}</definedName>
    <definedName name="tj" localSheetId="1" hidden="1">{"Riqfin97",#N/A,FALSE,"Tran";"Riqfinpro",#N/A,FALSE,"Tran"}</definedName>
    <definedName name="tj" localSheetId="0" hidden="1">{"Riqfin97",#N/A,FALSE,"Tran";"Riqfinpro",#N/A,FALSE,"Tran"}</definedName>
    <definedName name="tj" hidden="1">{"Riqfin97",#N/A,FALSE,"Tran";"Riqfinpro",#N/A,FALSE,"Tran"}</definedName>
    <definedName name="TKFOM">[182]DBMALLES!$A$855:$IP$855</definedName>
    <definedName name="TKFWM">[182]DBMALLES!$A$856:$IP$856</definedName>
    <definedName name="TKIAG">[182]DBMALLES!$A$1179:$IP$1179</definedName>
    <definedName name="TKOOM">[182]DBMALLES!$A$857:$IP$857</definedName>
    <definedName name="TKOWM">[182]DBMALLES!$A$858:$IP$858</definedName>
    <definedName name="TLDOM">[182]DBMALLES!$A$859:$IP$859</definedName>
    <definedName name="TLDWM">[182]DBMALLES!$A$860:$IP$860</definedName>
    <definedName name="TLOM">[182]DBMALLES!$A$861:$IP$861</definedName>
    <definedName name="TLOOM">[182]DBMALLES!$A$862:$IP$862</definedName>
    <definedName name="TLOWM">[182]DBMALLES!$A$863:$IP$863</definedName>
    <definedName name="TM">'[91]Output WEO'!#REF!</definedName>
    <definedName name="TM_RPCH">'[91]Output WEO'!#REF!</definedName>
    <definedName name="TMG">'[91]Output WEO'!#REF!</definedName>
    <definedName name="TMG_D">[102]Q5!$E$23:$AH$23</definedName>
    <definedName name="TMG_RPCH">'[91]Output WEO'!#REF!</definedName>
    <definedName name="TMGO">#N/A</definedName>
    <definedName name="TMGO_DPCH">'[91]Output WEO'!#REF!</definedName>
    <definedName name="TMIDM">[182]DBMALLES!$A$864:$IP$864</definedName>
    <definedName name="TNAME">'[92]AFR -WETA DAta'!#REF!</definedName>
    <definedName name="TNEOM">[182]DBMALLES!$A$865:$IP$865</definedName>
    <definedName name="TNEWM">[182]DBMALLES!$A$866:$IP$866</definedName>
    <definedName name="TNKG">[81]K81!#REF!</definedName>
    <definedName name="TOKEN">[0]!TOKEN</definedName>
    <definedName name="TOP_BORDER">#REF!</definedName>
    <definedName name="Total_Collateral_wise_42">'[51]9.4'!$A$46:$IV$46</definedName>
    <definedName name="TOTAL_Produwisec">'[51]9.3ka'!$A$55:$IV$55</definedName>
    <definedName name="TOTAL_sectorwise_123">'[51]9.3'!$A$127:$IV$127</definedName>
    <definedName name="TotalCosts">[78]ProjectCashflow!$B$127</definedName>
    <definedName name="toto">'[217]Fig15(data)'!$N$4:$O$19</definedName>
    <definedName name="toto1">'[218]OldFig5(data)'!$N$8:$O$27</definedName>
    <definedName name="TOWEO">#REF!</definedName>
    <definedName name="tr">{"Main Economic Indicators",#N/A,FALSE,"C"}</definedName>
    <definedName name="Trade_balance">#REF!</definedName>
    <definedName name="TRADE3">[55]Trade!#REF!</definedName>
    <definedName name="trans">#REF!</definedName>
    <definedName name="Transfer_check">#REF!</definedName>
    <definedName name="TRANSFERTEST">[219]Gin:Din!$C$2:$O$2</definedName>
    <definedName name="TRANSNAVE">#REF!</definedName>
    <definedName name="Transport__Communication_and_Public_Utilities_78">'[51]9.3'!$A$82:$IV$82</definedName>
    <definedName name="tretry" localSheetId="21" hidden="1">[43]Data!#REF!</definedName>
    <definedName name="tretry" localSheetId="1" hidden="1">[43]Data!#REF!</definedName>
    <definedName name="tretry" localSheetId="0" hidden="1">[43]Data!#REF!</definedName>
    <definedName name="tretry" hidden="1">[43]Data!#REF!</definedName>
    <definedName name="TRNR_1674c2746c284dc99e324ab4296103c3_18464_20" localSheetId="21" hidden="1">#REF!</definedName>
    <definedName name="TRNR_1674c2746c284dc99e324ab4296103c3_18464_20" localSheetId="1" hidden="1">#REF!</definedName>
    <definedName name="TRNR_1674c2746c284dc99e324ab4296103c3_18464_20" localSheetId="0" hidden="1">#REF!</definedName>
    <definedName name="TRNR_1674c2746c284dc99e324ab4296103c3_18464_20" hidden="1">#REF!</definedName>
    <definedName name="TRNR_1ed4cf216e6c4f10b5d9ee45c435751b_528_145" localSheetId="21" hidden="1">#REF!</definedName>
    <definedName name="TRNR_1ed4cf216e6c4f10b5d9ee45c435751b_528_145" localSheetId="1" hidden="1">#REF!</definedName>
    <definedName name="TRNR_1ed4cf216e6c4f10b5d9ee45c435751b_528_145" localSheetId="0" hidden="1">#REF!</definedName>
    <definedName name="TRNR_1ed4cf216e6c4f10b5d9ee45c435751b_528_145" hidden="1">#REF!</definedName>
    <definedName name="TRNR_20bb9561e9af4d78b049f7a671a84978_1_59" localSheetId="21" hidden="1">#REF!</definedName>
    <definedName name="TRNR_20bb9561e9af4d78b049f7a671a84978_1_59" localSheetId="1" hidden="1">#REF!</definedName>
    <definedName name="TRNR_20bb9561e9af4d78b049f7a671a84978_1_59" localSheetId="0" hidden="1">#REF!</definedName>
    <definedName name="TRNR_20bb9561e9af4d78b049f7a671a84978_1_59" hidden="1">#REF!</definedName>
    <definedName name="TRNR_2cfdf4ce2eba4e428a6c4e2557454bf9_527_87" localSheetId="21" hidden="1">#REF!</definedName>
    <definedName name="TRNR_2cfdf4ce2eba4e428a6c4e2557454bf9_527_87" localSheetId="1" hidden="1">#REF!</definedName>
    <definedName name="TRNR_2cfdf4ce2eba4e428a6c4e2557454bf9_527_87" localSheetId="0" hidden="1">#REF!</definedName>
    <definedName name="TRNR_2cfdf4ce2eba4e428a6c4e2557454bf9_527_87" hidden="1">#REF!</definedName>
    <definedName name="TRNR_50e54095113145d3805111e7b51fce6f_10_73" localSheetId="21" hidden="1">#REF!</definedName>
    <definedName name="TRNR_50e54095113145d3805111e7b51fce6f_10_73" localSheetId="1" hidden="1">#REF!</definedName>
    <definedName name="TRNR_50e54095113145d3805111e7b51fce6f_10_73" localSheetId="0" hidden="1">#REF!</definedName>
    <definedName name="TRNR_50e54095113145d3805111e7b51fce6f_10_73" hidden="1">#REF!</definedName>
    <definedName name="TRNR_51506c4bdd804cc590398787a25c4bb8_527_87" localSheetId="21" hidden="1">#REF!</definedName>
    <definedName name="TRNR_51506c4bdd804cc590398787a25c4bb8_527_87" localSheetId="1" hidden="1">#REF!</definedName>
    <definedName name="TRNR_51506c4bdd804cc590398787a25c4bb8_527_87" localSheetId="0" hidden="1">#REF!</definedName>
    <definedName name="TRNR_51506c4bdd804cc590398787a25c4bb8_527_87" hidden="1">#REF!</definedName>
    <definedName name="TRNR_5202f69fc76f4480a506273bd75e1719_2395_61" localSheetId="21" hidden="1">#REF!</definedName>
    <definedName name="TRNR_5202f69fc76f4480a506273bd75e1719_2395_61" localSheetId="1" hidden="1">#REF!</definedName>
    <definedName name="TRNR_5202f69fc76f4480a506273bd75e1719_2395_61" localSheetId="0" hidden="1">#REF!</definedName>
    <definedName name="TRNR_5202f69fc76f4480a506273bd75e1719_2395_61" hidden="1">#REF!</definedName>
    <definedName name="TRNR_58b0ab9cb84d437b8172b6c70c4e67d2_18535_59" localSheetId="21" hidden="1">#REF!</definedName>
    <definedName name="TRNR_58b0ab9cb84d437b8172b6c70c4e67d2_18535_59" localSheetId="1" hidden="1">#REF!</definedName>
    <definedName name="TRNR_58b0ab9cb84d437b8172b6c70c4e67d2_18535_59" localSheetId="0" hidden="1">#REF!</definedName>
    <definedName name="TRNR_58b0ab9cb84d437b8172b6c70c4e67d2_18535_59" hidden="1">#REF!</definedName>
    <definedName name="TRNR_5d221992b47f49c69113344b78eaa96d_75_59" localSheetId="21" hidden="1">#REF!</definedName>
    <definedName name="TRNR_5d221992b47f49c69113344b78eaa96d_75_59" localSheetId="1" hidden="1">#REF!</definedName>
    <definedName name="TRNR_5d221992b47f49c69113344b78eaa96d_75_59" localSheetId="0" hidden="1">#REF!</definedName>
    <definedName name="TRNR_5d221992b47f49c69113344b78eaa96d_75_59" hidden="1">#REF!</definedName>
    <definedName name="TRNR_6899dbc590554595a64c2153a84c5c1f_18435_59" localSheetId="21" hidden="1">#REF!</definedName>
    <definedName name="TRNR_6899dbc590554595a64c2153a84c5c1f_18435_59" localSheetId="1" hidden="1">#REF!</definedName>
    <definedName name="TRNR_6899dbc590554595a64c2153a84c5c1f_18435_59" localSheetId="0" hidden="1">#REF!</definedName>
    <definedName name="TRNR_6899dbc590554595a64c2153a84c5c1f_18435_59" hidden="1">#REF!</definedName>
    <definedName name="TRNR_6fa1cd25bb9142c5bd723ac8f316f085_30_73" localSheetId="21" hidden="1">#REF!</definedName>
    <definedName name="TRNR_6fa1cd25bb9142c5bd723ac8f316f085_30_73" localSheetId="1" hidden="1">#REF!</definedName>
    <definedName name="TRNR_6fa1cd25bb9142c5bd723ac8f316f085_30_73" localSheetId="0" hidden="1">#REF!</definedName>
    <definedName name="TRNR_6fa1cd25bb9142c5bd723ac8f316f085_30_73" hidden="1">#REF!</definedName>
    <definedName name="TRNR_8008595e1e724a2495ae3bc372af9e41_75_59" localSheetId="21" hidden="1">[220]Annual!#REF!</definedName>
    <definedName name="TRNR_8008595e1e724a2495ae3bc372af9e41_75_59" localSheetId="1" hidden="1">[220]Annual!#REF!</definedName>
    <definedName name="TRNR_8008595e1e724a2495ae3bc372af9e41_75_59" localSheetId="0" hidden="1">[220]Annual!#REF!</definedName>
    <definedName name="TRNR_8008595e1e724a2495ae3bc372af9e41_75_59" hidden="1">[220]Annual!#REF!</definedName>
    <definedName name="TRNR_960276ae62f043a2b7b172acbabf8d4c_25_15" localSheetId="21" hidden="1">#REF!</definedName>
    <definedName name="TRNR_960276ae62f043a2b7b172acbabf8d4c_25_15" localSheetId="1" hidden="1">#REF!</definedName>
    <definedName name="TRNR_960276ae62f043a2b7b172acbabf8d4c_25_15" localSheetId="0" hidden="1">#REF!</definedName>
    <definedName name="TRNR_960276ae62f043a2b7b172acbabf8d4c_25_15" hidden="1">#REF!</definedName>
    <definedName name="TRNR_9a169599cb2f4f038c42d45f9b03810b_288_59" localSheetId="21" hidden="1">#REF!</definedName>
    <definedName name="TRNR_9a169599cb2f4f038c42d45f9b03810b_288_59" localSheetId="1" hidden="1">#REF!</definedName>
    <definedName name="TRNR_9a169599cb2f4f038c42d45f9b03810b_288_59" localSheetId="0" hidden="1">#REF!</definedName>
    <definedName name="TRNR_9a169599cb2f4f038c42d45f9b03810b_288_59" hidden="1">#REF!</definedName>
    <definedName name="TRNR_ad92eddbcf27455bafb50a92f68785dc_527_87" localSheetId="21" hidden="1">#REF!</definedName>
    <definedName name="TRNR_ad92eddbcf27455bafb50a92f68785dc_527_87" localSheetId="1" hidden="1">#REF!</definedName>
    <definedName name="TRNR_ad92eddbcf27455bafb50a92f68785dc_527_87" localSheetId="0" hidden="1">#REF!</definedName>
    <definedName name="TRNR_ad92eddbcf27455bafb50a92f68785dc_527_87" hidden="1">#REF!</definedName>
    <definedName name="TRNR_bf9904c2324f4ffeb1c2aa2c14a79cc1_202_59" localSheetId="21" hidden="1">#REF!</definedName>
    <definedName name="TRNR_bf9904c2324f4ffeb1c2aa2c14a79cc1_202_59" localSheetId="1" hidden="1">#REF!</definedName>
    <definedName name="TRNR_bf9904c2324f4ffeb1c2aa2c14a79cc1_202_59" localSheetId="0" hidden="1">#REF!</definedName>
    <definedName name="TRNR_bf9904c2324f4ffeb1c2aa2c14a79cc1_202_59" hidden="1">#REF!</definedName>
    <definedName name="TRNR_ca899009fd1a4e7c8d3c1687430adb01_1_1" localSheetId="21" hidden="1">#REF!</definedName>
    <definedName name="TRNR_ca899009fd1a4e7c8d3c1687430adb01_1_1" localSheetId="1" hidden="1">#REF!</definedName>
    <definedName name="TRNR_ca899009fd1a4e7c8d3c1687430adb01_1_1" localSheetId="0" hidden="1">#REF!</definedName>
    <definedName name="TRNR_ca899009fd1a4e7c8d3c1687430adb01_1_1" hidden="1">#REF!</definedName>
    <definedName name="TRNR_d53a0f858f2843149102a2e320b2765c_1_59" localSheetId="21" hidden="1">#REF!</definedName>
    <definedName name="TRNR_d53a0f858f2843149102a2e320b2765c_1_59" localSheetId="1" hidden="1">#REF!</definedName>
    <definedName name="TRNR_d53a0f858f2843149102a2e320b2765c_1_59" localSheetId="0" hidden="1">#REF!</definedName>
    <definedName name="TRNR_d53a0f858f2843149102a2e320b2765c_1_59" hidden="1">#REF!</definedName>
    <definedName name="TRNR_f6ae9894de0742bbab59c73a2fb32af2_11_73" localSheetId="21" hidden="1">#REF!</definedName>
    <definedName name="TRNR_f6ae9894de0742bbab59c73a2fb32af2_11_73" localSheetId="1" hidden="1">#REF!</definedName>
    <definedName name="TRNR_f6ae9894de0742bbab59c73a2fb32af2_11_73" localSheetId="0" hidden="1">#REF!</definedName>
    <definedName name="TRNR_f6ae9894de0742bbab59c73a2fb32af2_11_73" hidden="1">#REF!</definedName>
    <definedName name="TRNR_f8584c9a877845dab2e4debff4c84105_6832_79" localSheetId="21" hidden="1">#REF!</definedName>
    <definedName name="TRNR_f8584c9a877845dab2e4debff4c84105_6832_79" localSheetId="1" hidden="1">#REF!</definedName>
    <definedName name="TRNR_f8584c9a877845dab2e4debff4c84105_6832_79" localSheetId="0" hidden="1">#REF!</definedName>
    <definedName name="TRNR_f8584c9a877845dab2e4debff4c84105_6832_79" hidden="1">#REF!</definedName>
    <definedName name="TRNR_fc209a7617734164b8e30858341d30a3_13055_6" hidden="1">'[221]Oil commodity'!$B$2</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'[51]9.3ka'!$A$15:$IV$15</definedName>
    <definedName name="TSGOM">[182]DBMALLES!$A$868:$IP$868</definedName>
    <definedName name="TSGWM">[182]DBMALLES!$A$869:$IP$869</definedName>
    <definedName name="TSODM">[182]DBMALLES!$A$870:$IP$870</definedName>
    <definedName name="tt" localSheetId="21" hidden="1">{"Tab1",#N/A,FALSE,"P";"Tab2",#N/A,FALSE,"P"}</definedName>
    <definedName name="tt" localSheetId="1" hidden="1">{"Tab1",#N/A,FALSE,"P";"Tab2",#N/A,FALSE,"P"}</definedName>
    <definedName name="tt" localSheetId="0" hidden="1">{"Tab1",#N/A,FALSE,"P";"Tab2",#N/A,FALSE,"P"}</definedName>
    <definedName name="tt" hidden="1">{"Tab1",#N/A,FALSE,"P";"Tab2",#N/A,FALSE,"P"}</definedName>
    <definedName name="TTADM">[182]DBMALLES!$A$871:$IP$871</definedName>
    <definedName name="ttt" localSheetId="21" hidden="1">{"Tab1",#N/A,FALSE,"P";"Tab2",#N/A,FALSE,"P"}</definedName>
    <definedName name="ttt" localSheetId="1" hidden="1">{"Tab1",#N/A,FALSE,"P";"Tab2",#N/A,FALSE,"P"}</definedName>
    <definedName name="ttt" localSheetId="0" hidden="1">{"Tab1",#N/A,FALSE,"P";"Tab2",#N/A,FALSE,"P"}</definedName>
    <definedName name="ttt" hidden="1">{"Tab1",#N/A,FALSE,"P";"Tab2",#N/A,FALSE,"P"}</definedName>
    <definedName name="tttt" localSheetId="21" hidden="1">{"Tab1",#N/A,FALSE,"P";"Tab2",#N/A,FALSE,"P"}</definedName>
    <definedName name="tttt" localSheetId="1" hidden="1">{"Tab1",#N/A,FALSE,"P";"Tab2",#N/A,FALSE,"P"}</definedName>
    <definedName name="tttt" localSheetId="0" hidden="1">{"Tab1",#N/A,FALSE,"P";"Tab2",#N/A,FALSE,"P"}</definedName>
    <definedName name="tttt" hidden="1">{"Tab1",#N/A,FALSE,"P";"Tab2",#N/A,FALSE,"P"}</definedName>
    <definedName name="ttttt" hidden="1">[175]M!#REF!</definedName>
    <definedName name="ttttttttt" localSheetId="21" hidden="1">{"Minpmon",#N/A,FALSE,"Monthinput"}</definedName>
    <definedName name="ttttttttt" localSheetId="1" hidden="1">{"Minpmon",#N/A,FALSE,"Monthinput"}</definedName>
    <definedName name="ttttttttt" localSheetId="0" hidden="1">{"Minpmon",#N/A,FALSE,"Monthinput"}</definedName>
    <definedName name="ttttttttt" hidden="1">{"Minpmon",#N/A,FALSE,"Monthinput"}</definedName>
    <definedName name="ttyy" localSheetId="21" hidden="1">{"Riqfin97",#N/A,FALSE,"Tran";"Riqfinpro",#N/A,FALSE,"Tran"}</definedName>
    <definedName name="ttyy" localSheetId="1" hidden="1">{"Riqfin97",#N/A,FALSE,"Tran";"Riqfinpro",#N/A,FALSE,"Tran"}</definedName>
    <definedName name="ttyy" localSheetId="0" hidden="1">{"Riqfin97",#N/A,FALSE,"Tran";"Riqfinpro",#N/A,FALSE,"Tran"}</definedName>
    <definedName name="ttyy" hidden="1">{"Riqfin97",#N/A,FALSE,"Tran";"Riqfinpro",#N/A,FALSE,"Tran"}</definedName>
    <definedName name="TUMDM">[182]DBMALLES!$A$872:$IP$872</definedName>
    <definedName name="TUMOM">[182]DBMALLES!$A$873:$IP$873</definedName>
    <definedName name="TUMWM">[182]DBMALLES!$A$874:$IP$874</definedName>
    <definedName name="Turkey">#REF!</definedName>
    <definedName name="TVEOM">[182]DBMALLES!$A$875:$IP$875</definedName>
    <definedName name="TVEWM">[182]DBMALLES!$A$876:$IP$876</definedName>
    <definedName name="TVKG">[81]K81!#REF!</definedName>
    <definedName name="TVMOM">[182]DBMALLES!$A$877:$IP$877</definedName>
    <definedName name="TVMWM">[182]DBMALLES!$A$878:$IP$878</definedName>
    <definedName name="TVSDM">[182]DBMALLES!$A$879:$IP$879</definedName>
    <definedName name="twryrwe" localSheetId="21" hidden="1">[47]PRIVATE!#REF!</definedName>
    <definedName name="twryrwe" hidden="1">[47]PRIVATE!#REF!</definedName>
    <definedName name="TX">'[91]Output WEO'!#REF!</definedName>
    <definedName name="TX_RPCH">'[91]Output WEO'!#REF!</definedName>
    <definedName name="TXG">'[91]Output WEO'!#REF!</definedName>
    <definedName name="TXG_D">#N/A</definedName>
    <definedName name="TXG_RPCH">'[91]Output WEO'!#REF!</definedName>
    <definedName name="TXGO">#N/A</definedName>
    <definedName name="TXGO_DPCH">'[91]Output WEO'!#REF!</definedName>
    <definedName name="tyi" hidden="1">'[26]Dep fonct'!#REF!</definedName>
    <definedName name="tyui" localSheetId="21" hidden="1">{"Riqfin97",#N/A,FALSE,"Tran";"Riqfinpro",#N/A,FALSE,"Tran"}</definedName>
    <definedName name="tyui" localSheetId="1" hidden="1">{"Riqfin97",#N/A,FALSE,"Tran";"Riqfinpro",#N/A,FALSE,"Tran"}</definedName>
    <definedName name="tyui" localSheetId="0" hidden="1">{"Riqfin97",#N/A,FALSE,"Tran";"Riqfinpro",#N/A,FALSE,"Tran"}</definedName>
    <definedName name="tyui" hidden="1">{"Riqfin97",#N/A,FALSE,"Tran";"Riqfinpro",#N/A,FALSE,"Tran"}</definedName>
    <definedName name="tz" localSheetId="21" hidden="1">{#N/A,#N/A,FALSE,"MZ GRV";#N/A,#N/A,FALSE,"MZ ArV";#N/A,#N/A,FALSE,"MZ AnV";#N/A,#N/A,FALSE,"MZ KnV"}</definedName>
    <definedName name="tz" localSheetId="1" hidden="1">{#N/A,#N/A,FALSE,"MZ GRV";#N/A,#N/A,FALSE,"MZ ArV";#N/A,#N/A,FALSE,"MZ AnV";#N/A,#N/A,FALSE,"MZ KnV"}</definedName>
    <definedName name="tz" localSheetId="0" hidden="1">{#N/A,#N/A,FALSE,"MZ GRV";#N/A,#N/A,FALSE,"MZ ArV";#N/A,#N/A,FALSE,"MZ AnV";#N/A,#N/A,FALSE,"MZ KnV"}</definedName>
    <definedName name="tz" hidden="1">{#N/A,#N/A,FALSE,"MZ GRV";#N/A,#N/A,FALSE,"MZ ArV";#N/A,#N/A,FALSE,"MZ AnV";#N/A,#N/A,FALSE,"MZ KnV"}</definedName>
    <definedName name="TZIOM">[182]DBMALLES!$A$880:$IP$880</definedName>
    <definedName name="TZIWM">[182]DBMALLES!$A$881:$IP$881</definedName>
    <definedName name="u">#REF!</definedName>
    <definedName name="uj">'[148]Imp:DSA output'!$F$9:$F$464</definedName>
    <definedName name="Unadjusted_usable_resources">#REF!</definedName>
    <definedName name="Uncommitted_usable_resources">#REF!</definedName>
    <definedName name="UnitCosts">[79]ProjectCashFlow!$G$211</definedName>
    <definedName name="UNITS">#REF!</definedName>
    <definedName name="Universities">#REF!</definedName>
    <definedName name="Up_to_3_months_Fixed_Account_1.1.2.1">'[51]9.2'!$A$9:$IV$9</definedName>
    <definedName name="Uploaded_Currency">[128]Control!$F$17</definedName>
    <definedName name="Uploaded_Scale">[128]Control!$F$18</definedName>
    <definedName name="Uruguay">#REF!</definedName>
    <definedName name="USERNAME">[89]Contents!$B$57</definedName>
    <definedName name="uu" localSheetId="21" hidden="1">{"Riqfin97",#N/A,FALSE,"Tran";"Riqfinpro",#N/A,FALSE,"Tran"}</definedName>
    <definedName name="uu" localSheetId="1" hidden="1">{"Riqfin97",#N/A,FALSE,"Tran";"Riqfinpro",#N/A,FALSE,"Tran"}</definedName>
    <definedName name="uu" localSheetId="0" hidden="1">{"Riqfin97",#N/A,FALSE,"Tran";"Riqfinpro",#N/A,FALSE,"Tran"}</definedName>
    <definedName name="uu" hidden="1">{"Riqfin97",#N/A,FALSE,"Tran";"Riqfinpro",#N/A,FALSE,"Tran"}</definedName>
    <definedName name="uuu" localSheetId="21" hidden="1">{"Riqfin97",#N/A,FALSE,"Tran";"Riqfinpro",#N/A,FALSE,"Tran"}</definedName>
    <definedName name="uuu" localSheetId="1" hidden="1">{"Riqfin97",#N/A,FALSE,"Tran";"Riqfinpro",#N/A,FALSE,"Tran"}</definedName>
    <definedName name="uuu" localSheetId="0" hidden="1">{"Riqfin97",#N/A,FALSE,"Tran";"Riqfinpro",#N/A,FALSE,"Tran"}</definedName>
    <definedName name="uuu" hidden="1">{"Riqfin97",#N/A,FALSE,"Tran";"Riqfinpro",#N/A,FALSE,"Tran"}</definedName>
    <definedName name="uuuuuu" localSheetId="21" hidden="1">{"Riqfin97",#N/A,FALSE,"Tran";"Riqfinpro",#N/A,FALSE,"Tran"}</definedName>
    <definedName name="uuuuuu" localSheetId="1" hidden="1">{"Riqfin97",#N/A,FALSE,"Tran";"Riqfinpro",#N/A,FALSE,"Tran"}</definedName>
    <definedName name="uuuuuu" localSheetId="0" hidden="1">{"Riqfin97",#N/A,FALSE,"Tran";"Riqfinpro",#N/A,FALSE,"Tran"}</definedName>
    <definedName name="uuuuuu" hidden="1">{"Riqfin97",#N/A,FALSE,"Tran";"Riqfinpro",#N/A,FALSE,"Tran"}</definedName>
    <definedName name="v" localSheetId="1" hidden="1">#REF!</definedName>
    <definedName name="v" localSheetId="0" hidden="1">#REF!</definedName>
    <definedName name="v">#REF!</definedName>
    <definedName name="ValidationList">#REF!</definedName>
    <definedName name="vatnew">#REF!</definedName>
    <definedName name="Venezuela">#REF!</definedName>
    <definedName name="VEPH">[81]K5!$A$14:$IV$14</definedName>
    <definedName name="VGRBASIS">[81]K0!$C$13</definedName>
    <definedName name="Vintage_display_lookup">#REF!</definedName>
    <definedName name="vs">'[148]Imp:DSA output'!$A$1</definedName>
    <definedName name="vv" localSheetId="21" hidden="1">{"Tab1",#N/A,FALSE,"P";"Tab2",#N/A,FALSE,"P"}</definedName>
    <definedName name="vv" localSheetId="1" hidden="1">{"Tab1",#N/A,FALSE,"P";"Tab2",#N/A,FALSE,"P"}</definedName>
    <definedName name="vv" localSheetId="0" hidden="1">{"Tab1",#N/A,FALSE,"P";"Tab2",#N/A,FALSE,"P"}</definedName>
    <definedName name="vv" hidden="1">{"Tab1",#N/A,FALSE,"P";"Tab2",#N/A,FALSE,"P"}</definedName>
    <definedName name="vvv" localSheetId="21" hidden="1">{"Tab1",#N/A,FALSE,"P";"Tab2",#N/A,FALSE,"P"}</definedName>
    <definedName name="vvv" localSheetId="1" hidden="1">{"Tab1",#N/A,FALSE,"P";"Tab2",#N/A,FALSE,"P"}</definedName>
    <definedName name="vvv" localSheetId="0" hidden="1">{"Tab1",#N/A,FALSE,"P";"Tab2",#N/A,FALSE,"P"}</definedName>
    <definedName name="vvv" hidden="1">{"Tab1",#N/A,FALSE,"P";"Tab2",#N/A,FALSE,"P"}</definedName>
    <definedName name="vvvv" localSheetId="21" hidden="1">{"Minpmon",#N/A,FALSE,"Monthinput"}</definedName>
    <definedName name="vvvv" localSheetId="1" hidden="1">{"Minpmon",#N/A,FALSE,"Monthinput"}</definedName>
    <definedName name="vvvv" localSheetId="0" hidden="1">{"Minpmon",#N/A,FALSE,"Monthinput"}</definedName>
    <definedName name="vvvv" hidden="1">{"Minpmon",#N/A,FALSE,"Monthinput"}</definedName>
    <definedName name="w" localSheetId="21" hidden="1">{"PRI",#N/A,FALSE,"Data";"QUA",#N/A,FALSE,"Data";"STR",#N/A,FALSE,"Data";"VAL",#N/A,FALSE,"Data";"WEO",#N/A,FALSE,"Data";"WGT",#N/A,FALSE,"Data"}</definedName>
    <definedName name="w" localSheetId="1" hidden="1">{"PRI",#N/A,FALSE,"Data";"QUA",#N/A,FALSE,"Data";"STR",#N/A,FALSE,"Data";"VAL",#N/A,FALSE,"Data";"WEO",#N/A,FALSE,"Data";"WGT",#N/A,FALSE,"Data"}</definedName>
    <definedName name="w" localSheetId="0" hidden="1">{"PRI",#N/A,FALSE,"Data";"QUA",#N/A,FALSE,"Data";"STR",#N/A,FALSE,"Data";"VAL",#N/A,FALSE,"Data";"WEO",#N/A,FALSE,"Data";"WGT",#N/A,FALSE,"Data"}</definedName>
    <definedName name="w" hidden="1">{"PRI",#N/A,FALSE,"Data";"QUA",#N/A,FALSE,"Data";"STR",#N/A,FALSE,"Data";"VAL",#N/A,FALSE,"Data";"WEO",#N/A,FALSE,"Data";"WGT",#N/A,FALSE,"Data"}</definedName>
    <definedName name="W2betet">OFFSET([143]DATA!$B$3,[143]DATA!$D$1-3,0,[143]DATA!$L$1-[143]DATA!$D$1+3,1)</definedName>
    <definedName name="Wages">#REF!</definedName>
    <definedName name="wb">'[123]by year'!$K$6:$K$129</definedName>
    <definedName name="WEO">#REF!</definedName>
    <definedName name="weo_dmx">#REF!</definedName>
    <definedName name="weo_legend">[171]Legend!$D$2:$D$228</definedName>
    <definedName name="WEODATES">#REF!</definedName>
    <definedName name="WEODB">[222]DIR!$C$26</definedName>
    <definedName name="weonames">#REF!</definedName>
    <definedName name="weongdp">#REF!</definedName>
    <definedName name="WEOTimeSeries">[79]Prices!$E$92:$AR$101</definedName>
    <definedName name="wer" localSheetId="21" hidden="1">{"Riqfin97",#N/A,FALSE,"Tran";"Riqfinpro",#N/A,FALSE,"Tran"}</definedName>
    <definedName name="wer" localSheetId="1" hidden="1">{"Riqfin97",#N/A,FALSE,"Tran";"Riqfinpro",#N/A,FALSE,"Tran"}</definedName>
    <definedName name="wer" localSheetId="0" hidden="1">{"Riqfin97",#N/A,FALSE,"Tran";"Riqfinpro",#N/A,FALSE,"Tran"}</definedName>
    <definedName name="wer" hidden="1">{"Riqfin97",#N/A,FALSE,"Tran";"Riqfinpro",#N/A,FALSE,"Tran"}</definedName>
    <definedName name="wer.main">{"Main Economic Indicators",#N/A,FALSE,"C"}</definedName>
    <definedName name="what" localSheetId="21" hidden="1">{"ca",#N/A,FALSE,"Detailed BOP";"ka",#N/A,FALSE,"Detailed BOP";"btl",#N/A,FALSE,"Detailed BOP";#N/A,#N/A,FALSE,"Debt  Stock TBL";"imfprint",#N/A,FALSE,"IMF";"imfdebtservice",#N/A,FALSE,"IMF";"tradeprint",#N/A,FALSE,"Trade"}</definedName>
    <definedName name="what" localSheetId="1" hidden="1">{"ca",#N/A,FALSE,"Detailed BOP";"ka",#N/A,FALSE,"Detailed BOP";"btl",#N/A,FALSE,"Detailed BOP";#N/A,#N/A,FALSE,"Debt  Stock TBL";"imfprint",#N/A,FALSE,"IMF";"imfdebtservice",#N/A,FALSE,"IMF";"tradeprint",#N/A,FALSE,"Trade"}</definedName>
    <definedName name="what" localSheetId="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olesaler___Retailer_86">'[51]9.3'!$A$90:$IV$90</definedName>
    <definedName name="wht?" localSheetId="21" hidden="1">{"'Basic'!$A$1:$F$96"}</definedName>
    <definedName name="wht?" localSheetId="1" hidden="1">{"'Basic'!$A$1:$F$96"}</definedName>
    <definedName name="wht?" localSheetId="0" hidden="1">{"'Basic'!$A$1:$F$96"}</definedName>
    <definedName name="wht?" hidden="1">{"'Basic'!$A$1:$F$96"}</definedName>
    <definedName name="Wind">#REF!</definedName>
    <definedName name="WMENU">#REF!</definedName>
    <definedName name="wqeeer">{"Main Economic Indicators",#N/A,FALSE,"C"}</definedName>
    <definedName name="wr">{"macro",#N/A,FALSE,"Macro";"smq2",#N/A,FALSE,"Data";"smq3",#N/A,FALSE,"Data";"smq4",#N/A,FALSE,"Data";"smq5",#N/A,FALSE,"Data";"smq6",#N/A,FALSE,"Data";"smq7",#N/A,FALSE,"Data";"smq8",#N/A,FALSE,"Data";"smq9",#N/A,FALSE,"Data"}</definedName>
    <definedName name="Write_Back_from_Provisions_for_loss_6.">'[51]9.2'!$A$74:$IV$74</definedName>
    <definedName name="wrn.97REDBOP." localSheetId="21" hidden="1">{"TRADE_COMP",#N/A,FALSE,"TAB23APP";"BOP",#N/A,FALSE,"TAB6";"DOT",#N/A,FALSE,"TAB24APP";"EXTDEBT",#N/A,FALSE,"TAB25APP"}</definedName>
    <definedName name="wrn.97REDBOP." localSheetId="1"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localSheetId="1" hidden="1">{#N/A,#N/A,FALSE,"Prod Nac GN";#N/A,#N/A,FALSE,"Prod Nac GN";#N/A,#N/A,FALSE,"Base Dados mil m3";#N/A,#N/A,FALSE,"Prod Ter Est 3D";#N/A,#N/A,FALSE,"Prod Ter 3D";#N/A,#N/A,FALSE,"Prod Mar 3D"}</definedName>
    <definedName name="wrn.AE201." localSheetId="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1" hidden="1">{#N/A,#N/A,FALSE,"ajusteurs";#N/A,#N/A,FALSE,"Tab13";#N/A,#N/A,FALSE,"Tab12";#N/A,#N/A,FALSE,"Tab11";#N/A,#N/A,FALSE,"Tab8";#N/A,#N/A,FALSE,"Tab7";#N/A,#N/A,FALSE,"Tab5";#N/A,#N/A,FALSE,"Tab4";#N/A,#N/A,FALSE,"Tab3"}</definedName>
    <definedName name="wrn.ajusteurs." localSheetId="1" hidden="1">{#N/A,#N/A,FALSE,"ajusteurs";#N/A,#N/A,FALSE,"Tab13";#N/A,#N/A,FALSE,"Tab12";#N/A,#N/A,FALSE,"Tab11";#N/A,#N/A,FALSE,"Tab8";#N/A,#N/A,FALSE,"Tab7";#N/A,#N/A,FALSE,"Tab5";#N/A,#N/A,FALSE,"Tab4";#N/A,#N/A,FALSE,"Tab3"}</definedName>
    <definedName name="wrn.ajusteurs." localSheetId="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1" hidden="1">{"arev",#N/A,FALSE,"arev";"aexp",#N/A,FALSE,"aexp";"sumcgo",#N/A,FALSE,"brf_sum";"afin",#N/A,FALSE,"afin"}</definedName>
    <definedName name="wrn.analysis." hidden="1">{"arev",#N/A,FALSE,"arev";"aexp",#N/A,FALSE,"aexp";"sumcgo",#N/A,FALSE,"brf_sum";"afin",#N/A,FALSE,"afin"}</definedName>
    <definedName name="wrn.analysiss." localSheetId="21" hidden="1">{"arev",#N/A,FALSE,"arev";"aexp",#N/A,FALSE,"aexp";"sumcgo",#N/A,FALSE,"brf_sum";"afin",#N/A,FALSE,"afin"}</definedName>
    <definedName name="wrn.analysiss." hidden="1">{"arev",#N/A,FALSE,"arev";"aexp",#N/A,FALSE,"aexp";"sumcgo",#N/A,FALSE,"brf_sum";"afin",#N/A,FALSE,"afin"}</definedName>
    <definedName name="wrn.annual." localSheetId="21" hidden="1">{"annual-cbr",#N/A,FALSE,"CENTBANK";"annual(banks)",#N/A,FALSE,"COMBANKS"}</definedName>
    <definedName name="wrn.annual." localSheetId="1"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{#N/A,#N/A,FALSE,"BANKS"}</definedName>
    <definedName name="wrn.BANKS.">{#N/A,#N/A,FALSE,"BANKS"}</definedName>
    <definedName name="wrn.BMA." localSheetId="21" hidden="1">{"3",#N/A,FALSE,"BASE MONETARIA";"4",#N/A,FALSE,"BASE MONETARIA"}</definedName>
    <definedName name="wrn.BMA." localSheetId="1" hidden="1">{"3",#N/A,FALSE,"BASE MONETARIA";"4",#N/A,FALSE,"BASE MONETARIA"}</definedName>
    <definedName name="wrn.BMA." localSheetId="0" hidden="1">{"3",#N/A,FALSE,"BASE MONETARIA";"4",#N/A,FALSE,"BASE MONETARIA"}</definedName>
    <definedName name="wrn.BMA." hidden="1">{"3",#N/A,FALSE,"BASE MONETARIA";"4",#N/A,FALSE,"BASE MONETARIA"}</definedName>
    <definedName name="wrn.BOP.">{#N/A,#N/A,FALSE,"BOP"}</definedName>
    <definedName name="wrn.bop.1">{#N/A,#N/A,FALSE,"BOP"}</definedName>
    <definedName name="wrn.BOP_MIDTERM." localSheetId="21" hidden="1">{"BOP_TAB",#N/A,FALSE,"N";"MIDTERM_TAB",#N/A,FALSE,"O"}</definedName>
    <definedName name="wrn.BOP_MIDTERM." localSheetId="1" hidden="1">{"BOP_TAB",#N/A,FALSE,"N";"MIDTERM_TAB",#N/A,FALSE,"O"}</definedName>
    <definedName name="wrn.BOP_MIDTERM." localSheetId="0" hidden="1">{"BOP_TAB",#N/A,FALSE,"N";"MIDTERM_TAB",#N/A,FALSE,"O"}</definedName>
    <definedName name="wrn.BOP_MIDTERM." hidden="1">{"BOP_TAB",#N/A,FALSE,"N";"MIDTERM_TAB",#N/A,FALSE,"O"}</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{"CN",#N/A,FALSE,"SEFI"}</definedName>
    <definedName name="wrn.cn.">{"CN",#N/A,FALSE,"SEFI"}</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{#N/A,#N/A,FALSE,"CREDIT"}</definedName>
    <definedName name="wrn.credit.1">{#N/A,#N/A,FALSE,"CREDIT"}</definedName>
    <definedName name="wrn.DEBTSVC.">{#N/A,#N/A,FALSE,"DEBTSVC"}</definedName>
    <definedName name="wrn.debtsvc1">{#N/A,#N/A,FALSE,"DEBTSVC"}</definedName>
    <definedName name="wrn.DEPO.">{#N/A,#N/A,FALSE,"DEPO"}</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{#N/A,#N/A,FALSE,"EXCISE"}</definedName>
    <definedName name="wrn.EXRATE.">{#N/A,#N/A,FALSE,"EXRATE"}</definedName>
    <definedName name="wrn.EXTDEBT.">{#N/A,#N/A,FALSE,"EXTDEBT"}</definedName>
    <definedName name="wrn.EXTRABUDGT.">{#N/A,#N/A,FALSE,"EXTRABUDGT"}</definedName>
    <definedName name="wrn.EXTRABUDGT2.">{#N/A,#N/A,FALSE,"EXTRABUDGT2"}</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{#N/A,#N/A,FALSE,"GDP_ORIGIN";#N/A,#N/A,FALSE,"EMP_POP"}</definedName>
    <definedName name="wrn.GGOVT.">{#N/A,#N/A,FALSE,"GGOVT"}</definedName>
    <definedName name="wrn.GGOVT2.">{#N/A,#N/A,FALSE,"GGOVT2"}</definedName>
    <definedName name="wrn.GGOVTPC.">{#N/A,#N/A,FALSE,"GGOVT%"}</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1"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localSheetId="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{#N/A,#N/A,FALSE,"INCOMETX"}</definedName>
    <definedName name="wrn.INFLATION.">#N/A</definedName>
    <definedName name="wrn.Input._.and._.output._.tables." localSheetId="21"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{#N/A,#N/A,FALSE,"INTERST"}</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1" hidden="1">{"Rev",#N/A,FALSE,"Rev";"Exp",#N/A,FALSE,"Exp";"Finance",#N/A,FALSE,"Finance";"acgo",#N/A,FALSE,"acgo"}</definedName>
    <definedName name="wrn.Levels." hidden="1">{"Rev",#N/A,FALSE,"Rev";"Exp",#N/A,FALSE,"Exp";"Finance",#N/A,FALSE,"Finance";"acgo",#N/A,FALSE,"acgo"}</definedName>
    <definedName name="wrn.MAIN.">{#N/A,#N/A,FALSE,"CB";#N/A,#N/A,FALSE,"CMB";#N/A,#N/A,FALSE,"BSYS";#N/A,#N/A,FALSE,"NBFI";#N/A,#N/A,FALSE,"FSYS"}</definedName>
    <definedName name="wrn.Main._.Economic._.Indicators." localSheetId="21" hidden="1">{"Main Economic Indicators",#N/A,FALSE,"C"}</definedName>
    <definedName name="wrn.Main._.Economic._.Indicators." localSheetId="1"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21"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1" hidden="1">{"BoP med term 1993-2002",#N/A,FALSE,"BoP"}</definedName>
    <definedName name="wrn.Med._.trm._.Bop." hidden="1">{"BoP med term 1993-2002",#N/A,FALSE,"BoP"}</definedName>
    <definedName name="wrn.Mikrozensus." localSheetId="21" hidden="1">{#N/A,#N/A,FALSE,"MZ GRV";#N/A,#N/A,FALSE,"MZ ArV";#N/A,#N/A,FALSE,"MZ AnV";#N/A,#N/A,FALSE,"MZ KnV"}</definedName>
    <definedName name="wrn.Mikrozensus." localSheetId="1" hidden="1">{#N/A,#N/A,FALSE,"MZ GRV";#N/A,#N/A,FALSE,"MZ ArV";#N/A,#N/A,FALSE,"MZ AnV";#N/A,#N/A,FALSE,"MZ KnV"}</definedName>
    <definedName name="wrn.Mikrozensus." localSheetId="0" hidden="1">{#N/A,#N/A,FALSE,"MZ GRV";#N/A,#N/A,FALSE,"MZ ArV";#N/A,#N/A,FALSE,"MZ AnV";#N/A,#N/A,FALSE,"MZ KnV"}</definedName>
    <definedName name="wrn.Mikrozensus." hidden="1">{#N/A,#N/A,FALSE,"MZ GRV";#N/A,#N/A,FALSE,"MZ ArV";#N/A,#N/A,FALSE,"MZ AnV";#N/A,#N/A,FALSE,"MZ KnV"}</definedName>
    <definedName name="wrn.MIT.">{#N/A,#N/A,FALSE,"CB";#N/A,#N/A,FALSE,"CMB";#N/A,#N/A,FALSE,"NBFI"}</definedName>
    <definedName name="wrn.MONA." localSheetId="21" hidden="1">{"MONA",#N/A,FALSE,"S"}</definedName>
    <definedName name="wrn.MONA." localSheetId="1" hidden="1">{"MONA",#N/A,FALSE,"S"}</definedName>
    <definedName name="wrn.MONA." localSheetId="0" hidden="1">{"MONA",#N/A,FALSE,"S"}</definedName>
    <definedName name="wrn.MONA." hidden="1">{"MONA",#N/A,FALSE,"S"}</definedName>
    <definedName name="wrn.Monthsheet." localSheetId="21" hidden="1">{"Minpmon",#N/A,FALSE,"Monthinput"}</definedName>
    <definedName name="wrn.Monthsheet." localSheetId="1" hidden="1">{"Minpmon",#N/A,FALSE,"Monthinput"}</definedName>
    <definedName name="wrn.Monthsheet." localSheetId="0" hidden="1">{"Minpmon",#N/A,FALSE,"Monthinput"}</definedName>
    <definedName name="wrn.Monthsheet." hidden="1">{"Minpmon",#N/A,FALSE,"Monthinput"}</definedName>
    <definedName name="wrn.MS.">{#N/A,#N/A,FALSE,"MS"}</definedName>
    <definedName name="wrn.mterm.">{"mt1",#N/A,FALSE,"Debt";"mt2",#N/A,FALSE,"Debt";"mt3",#N/A,FALSE,"Debt";"mt4",#N/A,FALSE,"Debt";"mt5",#N/A,FALSE,"Debt";"mt6",#N/A,FALSE,"Debt";"mt7",#N/A,FALSE,"Debt"}</definedName>
    <definedName name="wrn.NBG.">{#N/A,#N/A,FALSE,"NBG"}</definedName>
    <definedName name="wrn.OECD._.Tables.">{"Table 1",#N/A,FALSE,"Final Tables % GDP";"Table 2",#N/A,FALSE,"Final Tables % GDP"}</definedName>
    <definedName name="wrn.original." localSheetId="21" hidden="1">{"Original",#N/A,FALSE,"CENTBANK";"Original",#N/A,FALSE,"COMBANKS"}</definedName>
    <definedName name="wrn.original." localSheetId="1"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21" hidden="1">{#N/A,#N/A,FALSE,"I";#N/A,#N/A,FALSE,"J";#N/A,#N/A,FALSE,"K";#N/A,#N/A,FALSE,"L";#N/A,#N/A,FALSE,"M";#N/A,#N/A,FALSE,"N";#N/A,#N/A,FALSE,"O"}</definedName>
    <definedName name="wrn.Output._.tables." localSheetId="1"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1" hidden="1">{"REAL_99",#N/A,FALSE,"Prog_BSyst";"REAL_99",#N/A,FALSE,"Prog_BCM";"REAL_99",#N/A,FALSE,"Prog_ComB";"REAL_99",#N/A,FALSE,"Prog_Gov";"REAL_99",#N/A,FALSE,"B_mrks99"}</definedName>
    <definedName name="wrn.OUTTURN_TABLES_99." localSheetId="1" hidden="1">{"REAL_99",#N/A,FALSE,"Prog_BSyst";"REAL_99",#N/A,FALSE,"Prog_BCM";"REAL_99",#N/A,FALSE,"Prog_ComB";"REAL_99",#N/A,FALSE,"Prog_Gov";"REAL_99",#N/A,FALSE,"B_mrks99"}</definedName>
    <definedName name="wrn.OUTTURN_TABLES_99." localSheetId="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1" hidden="1">{"1",#N/A,FALSE,"Pasivos Mon";"2",#N/A,FALSE,"Pasivos Mon"}</definedName>
    <definedName name="wrn.PASMON." localSheetId="1" hidden="1">{"1",#N/A,FALSE,"Pasivos Mon";"2",#N/A,FALSE,"Pasivos Mon"}</definedName>
    <definedName name="wrn.PASMON." localSheetId="0" hidden="1">{"1",#N/A,FALSE,"Pasivos Mon";"2",#N/A,FALSE,"Pasivos Mon"}</definedName>
    <definedName name="wrn.PASMON." hidden="1">{"1",#N/A,FALSE,"Pasivos Mon";"2",#N/A,FALSE,"Pasivos Mon"}</definedName>
    <definedName name="wrn.PCPI.">{#N/A,#N/A,FALSE,"PCPI"}</definedName>
    <definedName name="wrn.PENSION.">{#N/A,#N/A,FALSE,"PENSION"}</definedName>
    <definedName name="wrn.Per._.cri." localSheetId="21" hidden="1">{#N/A,#N/A,FALSE,"Per Cri"}</definedName>
    <definedName name="wrn.Per._.cri." localSheetId="1" hidden="1">{#N/A,#N/A,FALSE,"Per Cri"}</definedName>
    <definedName name="wrn.Per._.cri." localSheetId="0" hidden="1">{#N/A,#N/A,FALSE,"Per Cri"}</definedName>
    <definedName name="wrn.Per._.cri." hidden="1">{#N/A,#N/A,FALSE,"Per Cri"}</definedName>
    <definedName name="wrn.Print.">#N/A</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21" hidden="1">{"Tab1",#N/A,FALSE,"P";"Tab2",#N/A,FALSE,"P"}</definedName>
    <definedName name="wrn.Program." localSheetId="1" hidden="1">{"Tab1",#N/A,FALSE,"P";"Tab2",#N/A,FALSE,"P"}</definedName>
    <definedName name="wrn.Program." localSheetId="0" hidden="1">{"Tab1",#N/A,FALSE,"P";"Tab2",#N/A,FALSE,"P"}</definedName>
    <definedName name="wrn.Program." hidden="1">{"Tab1",#N/A,FALSE,"P";"Tab2",#N/A,FALSE,"P"}</definedName>
    <definedName name="wrn.PRUDENT.">{#N/A,#N/A,FALSE,"PRUDENT"}</definedName>
    <definedName name="wrn.PUBLEXP.">{#N/A,#N/A,FALSE,"PUBLEXP"}</definedName>
    <definedName name="wrn.QUARTERLY_TABLES_00." localSheetId="21" hidden="1">{"SCEN_Q00",#N/A,FALSE,"Prog_BSyst";"SCEN_Q00",#N/A,FALSE,"Prog_BCM";"SCEN_Q00",#N/A,FALSE,"Prog_ComB";"SCEN_Q00",#N/A,FALSE,"Prog_Gov";"SCEN_Q00",#N/A,FALSE,"IN"}</definedName>
    <definedName name="wrn.QUARTERLY_TABLES_00." localSheetId="1" hidden="1">{"SCEN_Q00",#N/A,FALSE,"Prog_BSyst";"SCEN_Q00",#N/A,FALSE,"Prog_BCM";"SCEN_Q00",#N/A,FALSE,"Prog_ComB";"SCEN_Q00",#N/A,FALSE,"Prog_Gov";"SCEN_Q00",#N/A,FALSE,"IN"}</definedName>
    <definedName name="wrn.QUARTERLY_TABLES_00." localSheetId="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1" hidden="1">{"RED table 27 (BoP)",#N/A,FALSE,"BoP"}</definedName>
    <definedName name="wrn.RED." hidden="1">{"RED table 27 (BoP)",#N/A,FALSE,"BoP"}</definedName>
    <definedName name="wrn.RED._.tables."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1" hidden="1">{"red33",#N/A,FALSE,"Sheet1"}</definedName>
    <definedName name="wrn.red97." hidden="1">{"red33",#N/A,FALSE,"Sheet1"}</definedName>
    <definedName name="wrn.RED97MON." localSheetId="21" hidden="1">{"CBA",#N/A,FALSE,"TAB4";"MS",#N/A,FALSE,"TAB5";"BANKLOANS",#N/A,FALSE,"TAB21APP ";"INTEREST",#N/A,FALSE,"TAB22APP"}</definedName>
    <definedName name="wrn.RED97MON." localSheetId="1"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{#N/A,#N/A,FALSE,"REVSHARE"}</definedName>
    <definedName name="wrn.Riqfin." localSheetId="21" hidden="1">{"Riqfin97",#N/A,FALSE,"Tran";"Riqfinpro",#N/A,FALSE,"Tran"}</definedName>
    <definedName name="wrn.Riqfin." localSheetId="1" hidden="1">{"Riqfin97",#N/A,FALSE,"Tran";"Riqfinpro",#N/A,FALSE,"Tran"}</definedName>
    <definedName name="wrn.Riqfin." localSheetId="0" hidden="1">{"Riqfin97",#N/A,FALSE,"Tran";"Riqfinpro",#N/A,FALSE,"Tran"}</definedName>
    <definedName name="wrn.Riqfin." hidden="1">{"Riqfin97",#N/A,FALSE,"Tran";"Riqfinpro",#N/A,FALSE,"Tran"}</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1" hidden="1">{#N/A,#N/A,FALSE,"Sel Ind"}</definedName>
    <definedName name="wrn.Sel._.Ind." localSheetId="1" hidden="1">{#N/A,#N/A,FALSE,"Sel Ind"}</definedName>
    <definedName name="wrn.Sel._.Ind." localSheetId="0" hidden="1">{#N/A,#N/A,FALSE,"Sel Ind"}</definedName>
    <definedName name="wrn.Sel._.Ind." hidden="1">{#N/A,#N/A,FALSE,"Sel Ind"}</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1" hidden="1">{"ST1",#N/A,FALSE,"SOURCE"}</definedName>
    <definedName name="wrn.st1." hidden="1">{"ST1",#N/A,FALSE,"SOURCE"}</definedName>
    <definedName name="wrn.Staff._.report._.Table._.4." localSheetId="21" hidden="1">{"Staff Report table 4 -- BoP",#N/A,FALSE,"BoP"}</definedName>
    <definedName name="wrn.Staff._.report._.Table._.4." hidden="1">{"Staff Report table 4 -- BoP",#N/A,FALSE,"BoP"}</definedName>
    <definedName name="wrn.Staff._.Report._.Tables.">{#N/A,#N/A,FALSE,"SRFSYS";#N/A,#N/A,FALSE,"SRBSYS"}</definedName>
    <definedName name="wrn.STAFF_REPORT_TABLES." localSheetId="21" hidden="1">{"SR_tbs",#N/A,FALSE,"MGSSEI";"SR_tbs",#N/A,FALSE,"MGSBOX";"SR_tbs",#N/A,FALSE,"MGSOCIND"}</definedName>
    <definedName name="wrn.STAFF_REPORT_TABLES." localSheetId="1"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{#N/A,#N/A,FALSE,"STATE"}</definedName>
    <definedName name="wrn.suma.">{"macroa",#N/A,FALSE,"Macro";"suma2",#N/A,FALSE,"Data";"suma3",#N/A,FALSE,"Data";"suma4",#N/A,FALSE,"Data";"suma5",#N/A,FALSE,"Data";"suma6",#N/A,FALSE,"Data";"suma7",#N/A,FALSE,"Data";"suma8",#N/A,FALSE,"Data";"suma9",#N/A,FALSE,"Data"}</definedName>
    <definedName name="wrn.sumq.">{"macro",#N/A,FALSE,"Macro";"smq2",#N/A,FALSE,"Data";"smq3",#N/A,FALSE,"Data";"smq4",#N/A,FALSE,"Data";"smq5",#N/A,FALSE,"Data";"smq6",#N/A,FALSE,"Data";"smq7",#N/A,FALSE,"Data";"smq8",#N/A,FALSE,"Data";"smq9",#N/A,FALSE,"Data"}</definedName>
    <definedName name="wrn.Super." localSheetId="21" hidden="1">{#N/A,#N/A,FALSE,"Fórmulas";#N/A,#N/A,FALSE,"Proj100";#N/A,#N/A,FALSE,"Proj50";#N/A,#N/A,FALSE,"Proj25";#N/A,#N/A,FALSE,"Proj0";#N/A,#N/A,FALSE,"ProjLib";#N/A,#N/A,FALSE,"Aux"}</definedName>
    <definedName name="wrn.Super." localSheetId="1" hidden="1">{#N/A,#N/A,FALSE,"Fórmulas";#N/A,#N/A,FALSE,"Proj100";#N/A,#N/A,FALSE,"Proj50";#N/A,#N/A,FALSE,"Proj25";#N/A,#N/A,FALSE,"Proj0";#N/A,#N/A,FALSE,"ProjLib";#N/A,#N/A,FALSE,"Aux"}</definedName>
    <definedName name="wrn.Super." localSheetId="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1" hidden="1">{"Page1",#N/A,FALSE,"ARA M&amp;F&amp;T";"Page2",#N/A,FALSE,"ARA M&amp;F&amp;T";"Page3",#N/A,FALSE,"ARA M&amp;F&amp;T"}</definedName>
    <definedName name="wrn.TabARA." localSheetId="1"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wrn.Tabellen." localSheetId="21" hidden="1">{#N/A,#N/A,FALSE,"G RV Männer W";#N/A,#N/A,FALSE,"G RV Frauen W";#N/A,#N/A,FALSE,"G RV Männer O";#N/A,#N/A,FALSE,"G RV Frauen O";#N/A,#N/A,FALSE,"RTZahlbetrag"}</definedName>
    <definedName name="wrn.Tabellen." localSheetId="1" hidden="1">{#N/A,#N/A,FALSE,"G RV Männer W";#N/A,#N/A,FALSE,"G RV Frauen W";#N/A,#N/A,FALSE,"G RV Männer O";#N/A,#N/A,FALSE,"G RV Frauen O";#N/A,#N/A,FALSE,"RTZahlbetrag"}</definedName>
    <definedName name="wrn.Tabellen." localSheetId="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{"table1a",#N/A,FALSE,"C"}</definedName>
    <definedName name="wrn.table1aa.">{"table1a",#N/A,FALSE,"C"}</definedName>
    <definedName name="wrn.table1aaa.">{"table1a",#N/A,FALSE,"C"}</definedName>
    <definedName name="wrn.table1b">{"table1a",#N/A,FALSE,"C"}</definedName>
    <definedName name="wrn.table1q.">{"table1q",#N/A,FALSE,"C"}</definedName>
    <definedName name="wrn.table1qq">{"table1q",#N/A,FALSE,"C"}</definedName>
    <definedName name="wrn.table1qqq.">{"table1q",#N/A,FALSE,"C"}</definedName>
    <definedName name="wrn.TAXARREARS.">{#N/A,#N/A,FALSE,"TAXARREARS"}</definedName>
    <definedName name="wrn.TAXPAYRS.">{#N/A,#N/A,FALSE,"TAXPAYRS"}</definedName>
    <definedName name="wrn.Tb._.1._.Mc._.Flows." localSheetId="21" hidden="1">{#N/A,#N/A,FALSE,"Tb 1 Mc Flows"}</definedName>
    <definedName name="wrn.Tb._.1._.Mc._.Flows." localSheetId="1" hidden="1">{#N/A,#N/A,FALSE,"Tb 1 Mc Flows"}</definedName>
    <definedName name="wrn.Tb._.1._.Mc._.Flows." localSheetId="0" hidden="1">{#N/A,#N/A,FALSE,"Tb 1 Mc Flows"}</definedName>
    <definedName name="wrn.Tb._.1._.Mc._.Flows." hidden="1">{#N/A,#N/A,FALSE,"Tb 1 Mc Flows"}</definedName>
    <definedName name="wrn.Tb._.2._.NFPS." localSheetId="21" hidden="1">{#N/A,#N/A,FALSE,"Tb 2 NFPS"}</definedName>
    <definedName name="wrn.Tb._.2._.NFPS." localSheetId="1" hidden="1">{#N/A,#N/A,FALSE,"Tb 2 NFPS"}</definedName>
    <definedName name="wrn.Tb._.2._.NFPS." localSheetId="0" hidden="1">{#N/A,#N/A,FALSE,"Tb 2 NFPS"}</definedName>
    <definedName name="wrn.Tb._.2._.NFPS." hidden="1">{#N/A,#N/A,FALSE,"Tb 2 NFPS"}</definedName>
    <definedName name="wrn.Tb._.3._.C._.Gov." localSheetId="21" hidden="1">{#N/A,#N/A,FALSE,"tb 3 C Gov"}</definedName>
    <definedName name="wrn.Tb._.3._.C._.Gov." localSheetId="1" hidden="1">{#N/A,#N/A,FALSE,"tb 3 C Gov"}</definedName>
    <definedName name="wrn.Tb._.3._.C._.Gov." localSheetId="0" hidden="1">{#N/A,#N/A,FALSE,"tb 3 C Gov"}</definedName>
    <definedName name="wrn.Tb._.3._.C._.Gov." hidden="1">{#N/A,#N/A,FALSE,"tb 3 C Gov"}</definedName>
    <definedName name="wrn.Tb._.4._.MT._.Fiscal." localSheetId="21" hidden="1">{#N/A,#N/A,FALSE,"Tb 4 MT Fiscal"}</definedName>
    <definedName name="wrn.Tb._.4._.MT._.Fiscal." localSheetId="1" hidden="1">{#N/A,#N/A,FALSE,"Tb 4 MT Fiscal"}</definedName>
    <definedName name="wrn.Tb._.4._.MT._.Fiscal." localSheetId="0" hidden="1">{#N/A,#N/A,FALSE,"Tb 4 MT Fiscal"}</definedName>
    <definedName name="wrn.Tb._.4._.MT._.Fiscal." hidden="1">{#N/A,#N/A,FALSE,"Tb 4 MT Fiscal"}</definedName>
    <definedName name="wrn.test." localSheetId="21" hidden="1">{"srtot",#N/A,FALSE,"SR";"b2.9095",#N/A,FALSE,"SR"}</definedName>
    <definedName name="wrn.test." hidden="1">{"srtot",#N/A,FALSE,"SR";"b2.9095",#N/A,FALSE,"SR"}</definedName>
    <definedName name="wrn.TRADE.">{#N/A,#N/A,FALSE,"TRADE"}</definedName>
    <definedName name="wrn.Trade._.Output._.All." localSheetId="21"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1" hidden="1">{"WEO",#N/A,FALSE,"Data";"PRI",#N/A,FALSE,"Data";"QUA",#N/A,FALSE,"Data"}</definedName>
    <definedName name="wrn.Trade._.Table._.Core." localSheetId="1"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{#N/A,#N/A,FALSE,"TRANPORT"}</definedName>
    <definedName name="wrn.UNEMPL.">{#N/A,#N/A,FALSE,"EMP_POP";#N/A,#N/A,FALSE,"UNEMPL"}</definedName>
    <definedName name="wrn.WAGES.">{#N/A,#N/A,FALSE,"WAGES"}</definedName>
    <definedName name="wrn.WEO." localSheetId="21" hidden="1">{"WEO",#N/A,FALSE,"T"}</definedName>
    <definedName name="wrn.WEO." localSheetId="1" hidden="1">{"WEO",#N/A,FALSE,"T"}</definedName>
    <definedName name="wrn.WEO." localSheetId="0" hidden="1">{"WEO",#N/A,FALSE,"T"}</definedName>
    <definedName name="wrn.WEO." hidden="1">{"WEO",#N/A,FALSE,"T"}</definedName>
    <definedName name="wrn1.analysis" localSheetId="21" hidden="1">{"arev",#N/A,FALSE,"arev";"aexp",#N/A,FALSE,"aexp";"sumcgo",#N/A,FALSE,"brf_sum";"afin",#N/A,FALSE,"afin"}</definedName>
    <definedName name="wrn1.analysis" hidden="1">{"arev",#N/A,FALSE,"arev";"aexp",#N/A,FALSE,"aexp";"sumcgo",#N/A,FALSE,"brf_sum";"afin",#N/A,FALSE,"afin"}</definedName>
    <definedName name="ws">'[148]Imp:DSA output'!$B$9:$B$464</definedName>
    <definedName name="Wt_d">[77]CIRRs!$C$59</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[175]M!#REF!</definedName>
    <definedName name="wwff">{"Main Economic Indicators",#N/A,FALSE,"C"}</definedName>
    <definedName name="www" localSheetId="21" hidden="1">{"Riqfin97",#N/A,FALSE,"Tran";"Riqfinpro",#N/A,FALSE,"Tran"}</definedName>
    <definedName name="www" localSheetId="1" hidden="1">{"Riqfin97",#N/A,FALSE,"Tran";"Riqfinpro",#N/A,FALSE,"Tran"}</definedName>
    <definedName name="www" localSheetId="0" hidden="1">{"Riqfin97",#N/A,FALSE,"Tran";"Riqfinpro",#N/A,FALSE,"Tran"}</definedName>
    <definedName name="www" hidden="1">{"Riqfin97",#N/A,FALSE,"Tran";"Riqfinpro",#N/A,FALSE,"Tran"}</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[223]M!#REF!</definedName>
    <definedName name="wwwww" localSheetId="21" hidden="1">{"Minpmon",#N/A,FALSE,"Monthinput"}</definedName>
    <definedName name="wwwww" localSheetId="1" hidden="1">{"Minpmon",#N/A,FALSE,"Monthinput"}</definedName>
    <definedName name="wwwww" localSheetId="0" hidden="1">{"Minpmon",#N/A,FALSE,"Monthinput"}</definedName>
    <definedName name="wwwww" hidden="1">{"Minpmon",#N/A,FALSE,"Monthinput"}</definedName>
    <definedName name="wwwwwww" localSheetId="21" hidden="1">{"Riqfin97",#N/A,FALSE,"Tran";"Riqfinpro",#N/A,FALSE,"Tran"}</definedName>
    <definedName name="wwwwwww" localSheetId="1" hidden="1">{"Riqfin97",#N/A,FALSE,"Tran";"Riqfinpro",#N/A,FALSE,"Tran"}</definedName>
    <definedName name="wwwwwww" localSheetId="0" hidden="1">{"Riqfin97",#N/A,FALSE,"Tran";"Riqfinpro",#N/A,FALSE,"Tran"}</definedName>
    <definedName name="wwwwwww" hidden="1">{"Riqfin97",#N/A,FALSE,"Tran";"Riqfinpro",#N/A,FALSE,"Tran"}</definedName>
    <definedName name="x">#REF!</definedName>
    <definedName name="XandRev">'[167]tab 3'!$F$63:$Z$65</definedName>
    <definedName name="XR">[160]IN!$C$31:$X$31</definedName>
    <definedName name="XR_VALUE">'[157]Money-M'!#REF!</definedName>
    <definedName name="xx" localSheetId="21" hidden="1">{"Riqfin97",#N/A,FALSE,"Tran";"Riqfinpro",#N/A,FALSE,"Tran"}</definedName>
    <definedName name="xx" localSheetId="1" hidden="1">{"Riqfin97",#N/A,FALSE,"Tran";"Riqfinpro",#N/A,FALSE,"Tran"}</definedName>
    <definedName name="xx" localSheetId="0" hidden="1">{"Riqfin97",#N/A,FALSE,"Tran";"Riqfinpro",#N/A,FALSE,"Tran"}</definedName>
    <definedName name="xx" hidden="1">{"Riqfin97",#N/A,FALSE,"Tran";"Riqfinpro",#N/A,FALSE,"Tran"}</definedName>
    <definedName name="xxcccghaaaaaaaaaaaaa">{"Main Economic Indicators",#N/A,FALSE,"C"}</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hidden="1">[224]E!#REF!</definedName>
    <definedName name="xxxx" localSheetId="21" hidden="1">{"Riqfin97",#N/A,FALSE,"Tran";"Riqfinpro",#N/A,FALSE,"Tran"}</definedName>
    <definedName name="xxxx" localSheetId="1" hidden="1">{"Riqfin97",#N/A,FALSE,"Tran";"Riqfinpro",#N/A,FALSE,"Tran"}</definedName>
    <definedName name="xxxx" localSheetId="0" hidden="1">{"Riqfin97",#N/A,FALSE,"Tran";"Riqfinpro",#N/A,FALSE,"Tran"}</definedName>
    <definedName name="xxxx" hidden="1">{"Riqfin97",#N/A,FALSE,"Tran";"Riqfinpro",#N/A,FALSE,"Tran"}</definedName>
    <definedName name="y">#REF!</definedName>
    <definedName name="Y_N_dropdown">[87]lookup!$Z$4:$Z$5</definedName>
    <definedName name="yearpub">[225]ProjErrorRaw!$E$2:$M$2</definedName>
    <definedName name="YearsCSV">OFFSET(#REF!,0,0,COUNTA(#REF!),1)</definedName>
    <definedName name="yh" localSheetId="21" hidden="1">{"Riqfin97",#N/A,FALSE,"Tran";"Riqfinpro",#N/A,FALSE,"Tran"}</definedName>
    <definedName name="yh" localSheetId="1" hidden="1">{"Riqfin97",#N/A,FALSE,"Tran";"Riqfinpro",#N/A,FALSE,"Tran"}</definedName>
    <definedName name="yh" localSheetId="0" hidden="1">{"Riqfin97",#N/A,FALSE,"Tran";"Riqfinpro",#N/A,FALSE,"Tran"}</definedName>
    <definedName name="yh" hidden="1">{"Riqfin97",#N/A,FALSE,"Tran";"Riqfinpro",#N/A,FALSE,"Tran"}</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[93]Prices!$D$92:$D$97</definedName>
    <definedName name="yiop" localSheetId="21" hidden="1">{"Riqfin97",#N/A,FALSE,"Tran";"Riqfinpro",#N/A,FALSE,"Tran"}</definedName>
    <definedName name="yiop" localSheetId="1" hidden="1">{"Riqfin97",#N/A,FALSE,"Tran";"Riqfinpro",#N/A,FALSE,"Tran"}</definedName>
    <definedName name="yiop" localSheetId="0" hidden="1">{"Riqfin97",#N/A,FALSE,"Tran";"Riqfinpro",#N/A,FALSE,"Tran"}</definedName>
    <definedName name="yiop" hidden="1">{"Riqfin97",#N/A,FALSE,"Tran";"Riqfinpro",#N/A,FALSE,"Tran"}</definedName>
    <definedName name="Youth_Selfemployment_Fund_10.1.2.4">'[51]9.1'!#REF!</definedName>
    <definedName name="Youth_Selfemployment_Fund_2.5">'[51]9.1'!#REF!</definedName>
    <definedName name="Youth_Selfemployment_Fund_6.4">'[51]9.1'!#REF!</definedName>
    <definedName name="Ypath1L">OFFSET('[144]12'!#REF!,'[144]12'!$B$5-1,2,'[144]12'!$B$4-'[144]12'!$B$5+1,1)</definedName>
    <definedName name="Ypath1S">OFFSET('[144]12'!#REF!,'[144]12'!$B$5-1,5,'[144]12'!$B$4-'[144]12'!$B$5+1,1)</definedName>
    <definedName name="Ypath2L">OFFSET('[144]12'!#REF!,'[144]12'!$B$5-1,3,'[144]12'!$B$4-'[144]12'!$B$5+1,1)</definedName>
    <definedName name="Ypath2S">OFFSET('[144]12'!#REF!,'[144]12'!$B$5-1,6,'[144]12'!$B$4-'[144]12'!$B$5+1,1)</definedName>
    <definedName name="Ypath3L">OFFSET('[144]12'!#REF!,'[144]12'!$B$5-1,4,'[144]12'!$B$4-'[144]12'!$B$5+1,1)</definedName>
    <definedName name="Ypath3S">OFFSET('[144]12'!#REF!,'[144]12'!$B$5-1,7,'[144]12'!$B$4-'[144]12'!$B$5+1,1)</definedName>
    <definedName name="YpathIrado">OFFSET('[144]12'!#REF!,'[144]12'!$B$5-1,1,'[144]12'!$B$4-'[144]12'!$B$5+1,1)</definedName>
    <definedName name="YRA">[226]Assump:Last!$A$13:$A$13:#REF!</definedName>
    <definedName name="YRB">'[73]Imp:DSA output'!$B$9:$B$464</definedName>
    <definedName name="YRHIDE">'[73]Imp:DSA output'!$C$9:$G$464</definedName>
    <definedName name="YRPOST">'[5]Imp:DSA output'!$M$9:$IH$9</definedName>
    <definedName name="YRPOSTT">[226]Assump:Last!$Q$13:$Q$13:#REF!</definedName>
    <definedName name="YRPOSTV">[226]Assump:Last!$AI$13:$AI$13:#REF!</definedName>
    <definedName name="YRPRE">'[5]Imp:DSA output'!$B$9:$F$464</definedName>
    <definedName name="YRPRET">[226]Assump:Last!$H$13:$H$13:#REF!</definedName>
    <definedName name="YRPROG">[226]Assump:Last!$V$13:$V$13:#REF!</definedName>
    <definedName name="YRTITLES">'[5]Imp:DSA output'!$A$1</definedName>
    <definedName name="YRX">'[5]Imp:DSA output'!$S$9:$IG$464</definedName>
    <definedName name="yu" localSheetId="21" hidden="1">{"Tab1",#N/A,FALSE,"P";"Tab2",#N/A,FALSE,"P"}</definedName>
    <definedName name="yu" localSheetId="1" hidden="1">{"Tab1",#N/A,FALSE,"P";"Tab2",#N/A,FALSE,"P"}</definedName>
    <definedName name="yu" localSheetId="0" hidden="1">{"Tab1",#N/A,FALSE,"P";"Tab2",#N/A,FALSE,"P"}</definedName>
    <definedName name="yu" hidden="1">{"Tab1",#N/A,FALSE,"P";"Tab2",#N/A,FALSE,"P"}</definedName>
    <definedName name="yy" localSheetId="21" hidden="1">{"Tab1",#N/A,FALSE,"P";"Tab2",#N/A,FALSE,"P"}</definedName>
    <definedName name="yy" localSheetId="1" hidden="1">{"Tab1",#N/A,FALSE,"P";"Tab2",#N/A,FALSE,"P"}</definedName>
    <definedName name="yy" localSheetId="0" hidden="1">{"Tab1",#N/A,FALSE,"P";"Tab2",#N/A,FALSE,"P"}</definedName>
    <definedName name="yy" hidden="1">{"Tab1",#N/A,FALSE,"P";"Tab2",#N/A,FALSE,"P"}</definedName>
    <definedName name="yyuu" localSheetId="21" hidden="1">{"Riqfin97",#N/A,FALSE,"Tran";"Riqfinpro",#N/A,FALSE,"Tran"}</definedName>
    <definedName name="yyuu" localSheetId="1" hidden="1">{"Riqfin97",#N/A,FALSE,"Tran";"Riqfinpro",#N/A,FALSE,"Tran"}</definedName>
    <definedName name="yyuu" localSheetId="0" hidden="1">{"Riqfin97",#N/A,FALSE,"Tran";"Riqfinpro",#N/A,FALSE,"Tran"}</definedName>
    <definedName name="yyuu" hidden="1">{"Riqfin97",#N/A,FALSE,"Tran";"Riqfinpro",#N/A,FALSE,"Tran"}</definedName>
    <definedName name="yyy" localSheetId="21" hidden="1">{"Tab1",#N/A,FALSE,"P";"Tab2",#N/A,FALSE,"P"}</definedName>
    <definedName name="yyy" localSheetId="1" hidden="1">{"Tab1",#N/A,FALSE,"P";"Tab2",#N/A,FALSE,"P"}</definedName>
    <definedName name="yyy" localSheetId="0" hidden="1">{"Tab1",#N/A,FALSE,"P";"Tab2",#N/A,FALSE,"P"}</definedName>
    <definedName name="yyy" hidden="1">{"Tab1",#N/A,FALSE,"P";"Tab2",#N/A,FALSE,"P"}</definedName>
    <definedName name="yyyy" localSheetId="21" hidden="1">{"Riqfin97",#N/A,FALSE,"Tran";"Riqfinpro",#N/A,FALSE,"Tran"}</definedName>
    <definedName name="yyyy" localSheetId="1" hidden="1">{"Riqfin97",#N/A,FALSE,"Tran";"Riqfinpro",#N/A,FALSE,"Tran"}</definedName>
    <definedName name="yyyy" localSheetId="0" hidden="1">{"Riqfin97",#N/A,FALSE,"Tran";"Riqfinpro",#N/A,FALSE,"Tran"}</definedName>
    <definedName name="yyyy" hidden="1">{"Riqfin97",#N/A,FALSE,"Tran";"Riqfinpro",#N/A,FALSE,"Tran"}</definedName>
    <definedName name="yyyyyy" localSheetId="21" hidden="1">{"Minpmon",#N/A,FALSE,"Monthinput"}</definedName>
    <definedName name="yyyyyy" localSheetId="1" hidden="1">{"Minpmon",#N/A,FALSE,"Monthinput"}</definedName>
    <definedName name="yyyyyy" localSheetId="0" hidden="1">{"Minpmon",#N/A,FALSE,"Monthinput"}</definedName>
    <definedName name="yyyyyy" hidden="1">{"Minpmon",#N/A,FALSE,"Monthinput"}</definedName>
    <definedName name="z">#REF!</definedName>
    <definedName name="Z_00C67BFA_FEDD_11D1_98B3_00C04FC96ABD_.wvu.Rows" localSheetId="21" hidden="1">[134]BOP!$A$36:$IV$36,[134]BOP!$A$44:$IV$44,[134]BOP!$A$59:$IV$59,[134]BOP!#REF!,[134]BOP!#REF!,[134]BOP!$A$81:$IV$88</definedName>
    <definedName name="Z_00C67BFA_FEDD_11D1_98B3_00C04FC96ABD_.wvu.Rows" localSheetId="1" hidden="1">[134]BOP!$A$36:$IV$36,[134]BOP!$A$44:$IV$44,[134]BOP!$A$59:$IV$59,[134]BOP!#REF!,[134]BOP!#REF!,[134]BOP!$A$81:$IV$88</definedName>
    <definedName name="Z_00C67BFA_FEDD_11D1_98B3_00C04FC96ABD_.wvu.Rows" localSheetId="0" hidden="1">[134]BOP!$A$36:$IV$36,[134]BOP!$A$44:$IV$44,[134]BOP!$A$59:$IV$59,[134]BOP!#REF!,[134]BOP!#REF!,[134]BOP!$A$81:$IV$88</definedName>
    <definedName name="Z_00C67BFA_FEDD_11D1_98B3_00C04FC96ABD_.wvu.Rows" hidden="1">[134]BOP!$A$36:$IV$36,[134]BOP!$A$44:$IV$44,[134]BOP!$A$59:$IV$59,[134]BOP!#REF!,[134]BOP!#REF!,[134]BOP!$A$81:$IV$88</definedName>
    <definedName name="Z_00C67BFB_FEDD_11D1_98B3_00C04FC96ABD_.wvu.Rows" localSheetId="21" hidden="1">[134]BOP!$A$36:$IV$36,[134]BOP!$A$44:$IV$44,[134]BOP!$A$59:$IV$59,[134]BOP!#REF!,[134]BOP!#REF!,[134]BOP!$A$81:$IV$88</definedName>
    <definedName name="Z_00C67BFB_FEDD_11D1_98B3_00C04FC96ABD_.wvu.Rows" localSheetId="1" hidden="1">[134]BOP!$A$36:$IV$36,[134]BOP!$A$44:$IV$44,[134]BOP!$A$59:$IV$59,[134]BOP!#REF!,[134]BOP!#REF!,[134]BOP!$A$81:$IV$88</definedName>
    <definedName name="Z_00C67BFB_FEDD_11D1_98B3_00C04FC96ABD_.wvu.Rows" localSheetId="0" hidden="1">[134]BOP!$A$36:$IV$36,[134]BOP!$A$44:$IV$44,[134]BOP!$A$59:$IV$59,[134]BOP!#REF!,[134]BOP!#REF!,[134]BOP!$A$81:$IV$88</definedName>
    <definedName name="Z_00C67BFB_FEDD_11D1_98B3_00C04FC96ABD_.wvu.Rows" hidden="1">[134]BOP!$A$36:$IV$36,[134]BOP!$A$44:$IV$44,[134]BOP!$A$59:$IV$59,[134]BOP!#REF!,[134]BOP!#REF!,[134]BOP!$A$81:$IV$88</definedName>
    <definedName name="Z_00C67BFC_FEDD_11D1_98B3_00C04FC96ABD_.wvu.Rows" localSheetId="21" hidden="1">[134]BOP!$A$36:$IV$36,[134]BOP!$A$44:$IV$44,[134]BOP!$A$59:$IV$59,[134]BOP!#REF!,[134]BOP!#REF!,[134]BOP!$A$81:$IV$88</definedName>
    <definedName name="Z_00C67BFC_FEDD_11D1_98B3_00C04FC96ABD_.wvu.Rows" localSheetId="1" hidden="1">[134]BOP!$A$36:$IV$36,[134]BOP!$A$44:$IV$44,[134]BOP!$A$59:$IV$59,[134]BOP!#REF!,[134]BOP!#REF!,[134]BOP!$A$81:$IV$88</definedName>
    <definedName name="Z_00C67BFC_FEDD_11D1_98B3_00C04FC96ABD_.wvu.Rows" localSheetId="0" hidden="1">[134]BOP!$A$36:$IV$36,[134]BOP!$A$44:$IV$44,[134]BOP!$A$59:$IV$59,[134]BOP!#REF!,[134]BOP!#REF!,[134]BOP!$A$81:$IV$88</definedName>
    <definedName name="Z_00C67BFC_FEDD_11D1_98B3_00C04FC96ABD_.wvu.Rows" hidden="1">[134]BOP!$A$36:$IV$36,[134]BOP!$A$44:$IV$44,[134]BOP!$A$59:$IV$59,[134]BOP!#REF!,[134]BOP!#REF!,[134]BOP!$A$81:$IV$88</definedName>
    <definedName name="Z_00C67BFD_FEDD_11D1_98B3_00C04FC96ABD_.wvu.Rows" localSheetId="21" hidden="1">[134]BOP!$A$36:$IV$36,[134]BOP!$A$44:$IV$44,[134]BOP!$A$59:$IV$59,[134]BOP!#REF!,[134]BOP!#REF!,[134]BOP!$A$81:$IV$88</definedName>
    <definedName name="Z_00C67BFD_FEDD_11D1_98B3_00C04FC96ABD_.wvu.Rows" localSheetId="1" hidden="1">[134]BOP!$A$36:$IV$36,[134]BOP!$A$44:$IV$44,[134]BOP!$A$59:$IV$59,[134]BOP!#REF!,[134]BOP!#REF!,[134]BOP!$A$81:$IV$88</definedName>
    <definedName name="Z_00C67BFD_FEDD_11D1_98B3_00C04FC96ABD_.wvu.Rows" localSheetId="0" hidden="1">[134]BOP!$A$36:$IV$36,[134]BOP!$A$44:$IV$44,[134]BOP!$A$59:$IV$59,[134]BOP!#REF!,[134]BOP!#REF!,[134]BOP!$A$81:$IV$88</definedName>
    <definedName name="Z_00C67BFD_FEDD_11D1_98B3_00C04FC96ABD_.wvu.Rows" hidden="1">[134]BOP!$A$36:$IV$36,[134]BOP!$A$44:$IV$44,[134]BOP!$A$59:$IV$59,[134]BOP!#REF!,[134]BOP!#REF!,[134]BOP!$A$81:$IV$88</definedName>
    <definedName name="Z_00C67BFE_FEDD_11D1_98B3_00C04FC96ABD_.wvu.Rows" localSheetId="21" hidden="1">[134]BOP!$A$36:$IV$36,[134]BOP!$A$44:$IV$44,[134]BOP!$A$59:$IV$59,[134]BOP!#REF!,[134]BOP!#REF!,[134]BOP!$A$79:$IV$79,[134]BOP!$A$81:$IV$88,[134]BOP!#REF!</definedName>
    <definedName name="Z_00C67BFE_FEDD_11D1_98B3_00C04FC96ABD_.wvu.Rows" localSheetId="1" hidden="1">[134]BOP!$A$36:$IV$36,[134]BOP!$A$44:$IV$44,[134]BOP!$A$59:$IV$59,[134]BOP!#REF!,[134]BOP!#REF!,[134]BOP!$A$79:$IV$79,[134]BOP!$A$81:$IV$88,[134]BOP!#REF!</definedName>
    <definedName name="Z_00C67BFE_FEDD_11D1_98B3_00C04FC96ABD_.wvu.Rows" localSheetId="0" hidden="1">[134]BOP!$A$36:$IV$36,[134]BOP!$A$44:$IV$44,[134]BOP!$A$59:$IV$59,[134]BOP!#REF!,[134]BOP!#REF!,[134]BOP!$A$79:$IV$79,[134]BOP!$A$81:$IV$88,[134]BOP!#REF!</definedName>
    <definedName name="Z_00C67BFE_FEDD_11D1_98B3_00C04FC96ABD_.wvu.Rows" hidden="1">[134]BOP!$A$36:$IV$36,[134]BOP!$A$44:$IV$44,[134]BOP!$A$59:$IV$59,[134]BOP!#REF!,[134]BOP!#REF!,[134]BOP!$A$79:$IV$79,[134]BOP!$A$81:$IV$88,[134]BOP!#REF!</definedName>
    <definedName name="Z_00C67BFF_FEDD_11D1_98B3_00C04FC96ABD_.wvu.Rows" localSheetId="21" hidden="1">[134]BOP!$A$36:$IV$36,[134]BOP!$A$44:$IV$44,[134]BOP!$A$59:$IV$59,[134]BOP!#REF!,[134]BOP!#REF!,[134]BOP!$A$79:$IV$79,[134]BOP!$A$81:$IV$88</definedName>
    <definedName name="Z_00C67BFF_FEDD_11D1_98B3_00C04FC96ABD_.wvu.Rows" localSheetId="1" hidden="1">[134]BOP!$A$36:$IV$36,[134]BOP!$A$44:$IV$44,[134]BOP!$A$59:$IV$59,[134]BOP!#REF!,[134]BOP!#REF!,[134]BOP!$A$79:$IV$79,[134]BOP!$A$81:$IV$88</definedName>
    <definedName name="Z_00C67BFF_FEDD_11D1_98B3_00C04FC96ABD_.wvu.Rows" localSheetId="0" hidden="1">[134]BOP!$A$36:$IV$36,[134]BOP!$A$44:$IV$44,[134]BOP!$A$59:$IV$59,[134]BOP!#REF!,[134]BOP!#REF!,[134]BOP!$A$79:$IV$79,[134]BOP!$A$81:$IV$88</definedName>
    <definedName name="Z_00C67BFF_FEDD_11D1_98B3_00C04FC96ABD_.wvu.Rows" hidden="1">[134]BOP!$A$36:$IV$36,[134]BOP!$A$44:$IV$44,[134]BOP!$A$59:$IV$59,[134]BOP!#REF!,[134]BOP!#REF!,[134]BOP!$A$79:$IV$79,[134]BOP!$A$81:$IV$88</definedName>
    <definedName name="Z_00C67C00_FEDD_11D1_98B3_00C04FC96ABD_.wvu.Rows" hidden="1">[134]BOP!$A$36:$IV$36,[134]BOP!$A$44:$IV$44,[134]BOP!$A$59:$IV$59,[134]BOP!#REF!,[134]BOP!#REF!,[134]BOP!$A$79:$IV$79,[134]BOP!#REF!</definedName>
    <definedName name="Z_00C67C01_FEDD_11D1_98B3_00C04FC96ABD_.wvu.Rows" hidden="1">[134]BOP!$A$36:$IV$36,[134]BOP!$A$44:$IV$44,[134]BOP!$A$59:$IV$59,[134]BOP!#REF!,[134]BOP!#REF!,[134]BOP!$A$79:$IV$79,[134]BOP!$A$81:$IV$88,[134]BOP!#REF!</definedName>
    <definedName name="Z_00C67C02_FEDD_11D1_98B3_00C04FC96ABD_.wvu.Rows" hidden="1">[134]BOP!$A$36:$IV$36,[134]BOP!$A$44:$IV$44,[134]BOP!$A$59:$IV$59,[134]BOP!#REF!,[134]BOP!#REF!,[134]BOP!$A$79:$IV$79,[134]BOP!$A$81:$IV$88,[134]BOP!#REF!</definedName>
    <definedName name="Z_00C67C03_FEDD_11D1_98B3_00C04FC96ABD_.wvu.Rows" hidden="1">[134]BOP!$A$36:$IV$36,[134]BOP!$A$44:$IV$44,[134]BOP!$A$59:$IV$59,[134]BOP!#REF!,[134]BOP!#REF!,[134]BOP!$A$79:$IV$79,[134]BOP!$A$81:$IV$88,[134]BOP!#REF!</definedName>
    <definedName name="Z_00C67C05_FEDD_11D1_98B3_00C04FC96ABD_.wvu.Rows" localSheetId="21" hidden="1">[134]BOP!$A$36:$IV$36,[134]BOP!$A$44:$IV$44,[134]BOP!$A$59:$IV$59,[134]BOP!#REF!,[134]BOP!#REF!,[134]BOP!$A$79:$IV$79,[134]BOP!$A$81:$IV$88,[134]BOP!#REF!,[134]BOP!#REF!</definedName>
    <definedName name="Z_00C67C05_FEDD_11D1_98B3_00C04FC96ABD_.wvu.Rows" localSheetId="1" hidden="1">[134]BOP!$A$36:$IV$36,[134]BOP!$A$44:$IV$44,[134]BOP!$A$59:$IV$59,[134]BOP!#REF!,[134]BOP!#REF!,[134]BOP!$A$79:$IV$79,[134]BOP!$A$81:$IV$88,[134]BOP!#REF!,[134]BOP!#REF!</definedName>
    <definedName name="Z_00C67C05_FEDD_11D1_98B3_00C04FC96ABD_.wvu.Rows" localSheetId="0" hidden="1">[134]BOP!$A$36:$IV$36,[134]BOP!$A$44:$IV$44,[134]BOP!$A$59:$IV$59,[134]BOP!#REF!,[134]BOP!#REF!,[134]BOP!$A$79:$IV$79,[134]BOP!$A$81:$IV$88,[134]BOP!#REF!,[134]BOP!#REF!</definedName>
    <definedName name="Z_00C67C05_FEDD_11D1_98B3_00C04FC96ABD_.wvu.Rows" hidden="1">[134]BOP!$A$36:$IV$36,[134]BOP!$A$44:$IV$44,[134]BOP!$A$59:$IV$59,[134]BOP!#REF!,[134]BOP!#REF!,[134]BOP!$A$79:$IV$79,[134]BOP!$A$81:$IV$88,[134]BOP!#REF!,[134]BOP!#REF!</definedName>
    <definedName name="Z_00C67C06_FEDD_11D1_98B3_00C04FC96ABD_.wvu.Rows" localSheetId="21" hidden="1">[134]BOP!$A$36:$IV$36,[134]BOP!$A$44:$IV$44,[134]BOP!$A$59:$IV$59,[134]BOP!#REF!,[134]BOP!#REF!,[134]BOP!$A$79:$IV$79,[134]BOP!$A$81:$IV$88,[134]BOP!#REF!,[134]BOP!#REF!</definedName>
    <definedName name="Z_00C67C06_FEDD_11D1_98B3_00C04FC96ABD_.wvu.Rows" localSheetId="1" hidden="1">[134]BOP!$A$36:$IV$36,[134]BOP!$A$44:$IV$44,[134]BOP!$A$59:$IV$59,[134]BOP!#REF!,[134]BOP!#REF!,[134]BOP!$A$79:$IV$79,[134]BOP!$A$81:$IV$88,[134]BOP!#REF!,[134]BOP!#REF!</definedName>
    <definedName name="Z_00C67C06_FEDD_11D1_98B3_00C04FC96ABD_.wvu.Rows" localSheetId="0" hidden="1">[134]BOP!$A$36:$IV$36,[134]BOP!$A$44:$IV$44,[134]BOP!$A$59:$IV$59,[134]BOP!#REF!,[134]BOP!#REF!,[134]BOP!$A$79:$IV$79,[134]BOP!$A$81:$IV$88,[134]BOP!#REF!,[134]BOP!#REF!</definedName>
    <definedName name="Z_00C67C06_FEDD_11D1_98B3_00C04FC96ABD_.wvu.Rows" hidden="1">[134]BOP!$A$36:$IV$36,[134]BOP!$A$44:$IV$44,[134]BOP!$A$59:$IV$59,[134]BOP!#REF!,[134]BOP!#REF!,[134]BOP!$A$79:$IV$79,[134]BOP!$A$81:$IV$88,[134]BOP!#REF!,[134]BOP!#REF!</definedName>
    <definedName name="Z_00C67C07_FEDD_11D1_98B3_00C04FC96ABD_.wvu.Rows" hidden="1">[134]BOP!$A$36:$IV$36,[134]BOP!$A$44:$IV$44,[134]BOP!$A$59:$IV$59,[134]BOP!#REF!,[134]BOP!#REF!,[134]BOP!$A$79:$IV$79</definedName>
    <definedName name="Z_041FA3A7_30CF_11D1_A8EA_00A02466B35E_.wvu.Cols" hidden="1">[138]Rev!$B$1:$B$65536,[138]Rev!$C$1:$D$65536,[138]Rev!$AB$1:$AB$65536,[138]Rev!$L$1:$Q$65536</definedName>
    <definedName name="Z_041FA3A7_30CF_11D1_A8EA_00A02466B35E_.wvu.Rows" hidden="1">[138]Rev!$A$23:$IV$26,[138]Rev!$A$37:$IV$38</definedName>
    <definedName name="Z_112039D0_FF0B_11D1_98B3_00C04FC96ABD_.wvu.Rows" localSheetId="21" hidden="1">[134]BOP!$A$36:$IV$36,[134]BOP!$A$44:$IV$44,[134]BOP!$A$59:$IV$59,[134]BOP!#REF!,[134]BOP!#REF!,[134]BOP!$A$81:$IV$88</definedName>
    <definedName name="Z_112039D0_FF0B_11D1_98B3_00C04FC96ABD_.wvu.Rows" localSheetId="1" hidden="1">[134]BOP!$A$36:$IV$36,[134]BOP!$A$44:$IV$44,[134]BOP!$A$59:$IV$59,[134]BOP!#REF!,[134]BOP!#REF!,[134]BOP!$A$81:$IV$88</definedName>
    <definedName name="Z_112039D0_FF0B_11D1_98B3_00C04FC96ABD_.wvu.Rows" localSheetId="0" hidden="1">[134]BOP!$A$36:$IV$36,[134]BOP!$A$44:$IV$44,[134]BOP!$A$59:$IV$59,[134]BOP!#REF!,[134]BOP!#REF!,[134]BOP!$A$81:$IV$88</definedName>
    <definedName name="Z_112039D0_FF0B_11D1_98B3_00C04FC96ABD_.wvu.Rows" hidden="1">[134]BOP!$A$36:$IV$36,[134]BOP!$A$44:$IV$44,[134]BOP!$A$59:$IV$59,[134]BOP!#REF!,[134]BOP!#REF!,[134]BOP!$A$81:$IV$88</definedName>
    <definedName name="Z_112039D1_FF0B_11D1_98B3_00C04FC96ABD_.wvu.Rows" localSheetId="21" hidden="1">[134]BOP!$A$36:$IV$36,[134]BOP!$A$44:$IV$44,[134]BOP!$A$59:$IV$59,[134]BOP!#REF!,[134]BOP!#REF!,[134]BOP!$A$81:$IV$88</definedName>
    <definedName name="Z_112039D1_FF0B_11D1_98B3_00C04FC96ABD_.wvu.Rows" localSheetId="1" hidden="1">[134]BOP!$A$36:$IV$36,[134]BOP!$A$44:$IV$44,[134]BOP!$A$59:$IV$59,[134]BOP!#REF!,[134]BOP!#REF!,[134]BOP!$A$81:$IV$88</definedName>
    <definedName name="Z_112039D1_FF0B_11D1_98B3_00C04FC96ABD_.wvu.Rows" localSheetId="0" hidden="1">[134]BOP!$A$36:$IV$36,[134]BOP!$A$44:$IV$44,[134]BOP!$A$59:$IV$59,[134]BOP!#REF!,[134]BOP!#REF!,[134]BOP!$A$81:$IV$88</definedName>
    <definedName name="Z_112039D1_FF0B_11D1_98B3_00C04FC96ABD_.wvu.Rows" hidden="1">[134]BOP!$A$36:$IV$36,[134]BOP!$A$44:$IV$44,[134]BOP!$A$59:$IV$59,[134]BOP!#REF!,[134]BOP!#REF!,[134]BOP!$A$81:$IV$88</definedName>
    <definedName name="Z_112039D2_FF0B_11D1_98B3_00C04FC96ABD_.wvu.Rows" localSheetId="21" hidden="1">[134]BOP!$A$36:$IV$36,[134]BOP!$A$44:$IV$44,[134]BOP!$A$59:$IV$59,[134]BOP!#REF!,[134]BOP!#REF!,[134]BOP!$A$81:$IV$88</definedName>
    <definedName name="Z_112039D2_FF0B_11D1_98B3_00C04FC96ABD_.wvu.Rows" localSheetId="1" hidden="1">[134]BOP!$A$36:$IV$36,[134]BOP!$A$44:$IV$44,[134]BOP!$A$59:$IV$59,[134]BOP!#REF!,[134]BOP!#REF!,[134]BOP!$A$81:$IV$88</definedName>
    <definedName name="Z_112039D2_FF0B_11D1_98B3_00C04FC96ABD_.wvu.Rows" localSheetId="0" hidden="1">[134]BOP!$A$36:$IV$36,[134]BOP!$A$44:$IV$44,[134]BOP!$A$59:$IV$59,[134]BOP!#REF!,[134]BOP!#REF!,[134]BOP!$A$81:$IV$88</definedName>
    <definedName name="Z_112039D2_FF0B_11D1_98B3_00C04FC96ABD_.wvu.Rows" hidden="1">[134]BOP!$A$36:$IV$36,[134]BOP!$A$44:$IV$44,[134]BOP!$A$59:$IV$59,[134]BOP!#REF!,[134]BOP!#REF!,[134]BOP!$A$81:$IV$88</definedName>
    <definedName name="Z_112039D3_FF0B_11D1_98B3_00C04FC96ABD_.wvu.Rows" localSheetId="21" hidden="1">[134]BOP!$A$36:$IV$36,[134]BOP!$A$44:$IV$44,[134]BOP!$A$59:$IV$59,[134]BOP!#REF!,[134]BOP!#REF!,[134]BOP!$A$81:$IV$88</definedName>
    <definedName name="Z_112039D3_FF0B_11D1_98B3_00C04FC96ABD_.wvu.Rows" localSheetId="1" hidden="1">[134]BOP!$A$36:$IV$36,[134]BOP!$A$44:$IV$44,[134]BOP!$A$59:$IV$59,[134]BOP!#REF!,[134]BOP!#REF!,[134]BOP!$A$81:$IV$88</definedName>
    <definedName name="Z_112039D3_FF0B_11D1_98B3_00C04FC96ABD_.wvu.Rows" localSheetId="0" hidden="1">[134]BOP!$A$36:$IV$36,[134]BOP!$A$44:$IV$44,[134]BOP!$A$59:$IV$59,[134]BOP!#REF!,[134]BOP!#REF!,[134]BOP!$A$81:$IV$88</definedName>
    <definedName name="Z_112039D3_FF0B_11D1_98B3_00C04FC96ABD_.wvu.Rows" hidden="1">[134]BOP!$A$36:$IV$36,[134]BOP!$A$44:$IV$44,[134]BOP!$A$59:$IV$59,[134]BOP!#REF!,[134]BOP!#REF!,[134]BOP!$A$81:$IV$88</definedName>
    <definedName name="Z_112039D4_FF0B_11D1_98B3_00C04FC96ABD_.wvu.Rows" localSheetId="21" hidden="1">[134]BOP!$A$36:$IV$36,[134]BOP!$A$44:$IV$44,[134]BOP!$A$59:$IV$59,[134]BOP!#REF!,[134]BOP!#REF!,[134]BOP!$A$79:$IV$79,[134]BOP!$A$81:$IV$88,[134]BOP!#REF!</definedName>
    <definedName name="Z_112039D4_FF0B_11D1_98B3_00C04FC96ABD_.wvu.Rows" localSheetId="1" hidden="1">[134]BOP!$A$36:$IV$36,[134]BOP!$A$44:$IV$44,[134]BOP!$A$59:$IV$59,[134]BOP!#REF!,[134]BOP!#REF!,[134]BOP!$A$79:$IV$79,[134]BOP!$A$81:$IV$88,[134]BOP!#REF!</definedName>
    <definedName name="Z_112039D4_FF0B_11D1_98B3_00C04FC96ABD_.wvu.Rows" localSheetId="0" hidden="1">[134]BOP!$A$36:$IV$36,[134]BOP!$A$44:$IV$44,[134]BOP!$A$59:$IV$59,[134]BOP!#REF!,[134]BOP!#REF!,[134]BOP!$A$79:$IV$79,[134]BOP!$A$81:$IV$88,[134]BOP!#REF!</definedName>
    <definedName name="Z_112039D4_FF0B_11D1_98B3_00C04FC96ABD_.wvu.Rows" hidden="1">[134]BOP!$A$36:$IV$36,[134]BOP!$A$44:$IV$44,[134]BOP!$A$59:$IV$59,[134]BOP!#REF!,[134]BOP!#REF!,[134]BOP!$A$79:$IV$79,[134]BOP!$A$81:$IV$88,[134]BOP!#REF!</definedName>
    <definedName name="Z_112039D5_FF0B_11D1_98B3_00C04FC96ABD_.wvu.Rows" localSheetId="21" hidden="1">[134]BOP!$A$36:$IV$36,[134]BOP!$A$44:$IV$44,[134]BOP!$A$59:$IV$59,[134]BOP!#REF!,[134]BOP!#REF!,[134]BOP!$A$79:$IV$79,[134]BOP!$A$81:$IV$88</definedName>
    <definedName name="Z_112039D5_FF0B_11D1_98B3_00C04FC96ABD_.wvu.Rows" localSheetId="1" hidden="1">[134]BOP!$A$36:$IV$36,[134]BOP!$A$44:$IV$44,[134]BOP!$A$59:$IV$59,[134]BOP!#REF!,[134]BOP!#REF!,[134]BOP!$A$79:$IV$79,[134]BOP!$A$81:$IV$88</definedName>
    <definedName name="Z_112039D5_FF0B_11D1_98B3_00C04FC96ABD_.wvu.Rows" localSheetId="0" hidden="1">[134]BOP!$A$36:$IV$36,[134]BOP!$A$44:$IV$44,[134]BOP!$A$59:$IV$59,[134]BOP!#REF!,[134]BOP!#REF!,[134]BOP!$A$79:$IV$79,[134]BOP!$A$81:$IV$88</definedName>
    <definedName name="Z_112039D5_FF0B_11D1_98B3_00C04FC96ABD_.wvu.Rows" hidden="1">[134]BOP!$A$36:$IV$36,[134]BOP!$A$44:$IV$44,[134]BOP!$A$59:$IV$59,[134]BOP!#REF!,[134]BOP!#REF!,[134]BOP!$A$79:$IV$79,[134]BOP!$A$81:$IV$88</definedName>
    <definedName name="Z_112039D6_FF0B_11D1_98B3_00C04FC96ABD_.wvu.Rows" hidden="1">[134]BOP!$A$36:$IV$36,[134]BOP!$A$44:$IV$44,[134]BOP!$A$59:$IV$59,[134]BOP!#REF!,[134]BOP!#REF!,[134]BOP!$A$79:$IV$79,[134]BOP!#REF!</definedName>
    <definedName name="Z_112039D7_FF0B_11D1_98B3_00C04FC96ABD_.wvu.Rows" hidden="1">[134]BOP!$A$36:$IV$36,[134]BOP!$A$44:$IV$44,[134]BOP!$A$59:$IV$59,[134]BOP!#REF!,[134]BOP!#REF!,[134]BOP!$A$79:$IV$79,[134]BOP!$A$81:$IV$88,[134]BOP!#REF!</definedName>
    <definedName name="Z_112039D8_FF0B_11D1_98B3_00C04FC96ABD_.wvu.Rows" hidden="1">[134]BOP!$A$36:$IV$36,[134]BOP!$A$44:$IV$44,[134]BOP!$A$59:$IV$59,[134]BOP!#REF!,[134]BOP!#REF!,[134]BOP!$A$79:$IV$79,[134]BOP!$A$81:$IV$88,[134]BOP!#REF!</definedName>
    <definedName name="Z_112039D9_FF0B_11D1_98B3_00C04FC96ABD_.wvu.Rows" hidden="1">[134]BOP!$A$36:$IV$36,[134]BOP!$A$44:$IV$44,[134]BOP!$A$59:$IV$59,[134]BOP!#REF!,[134]BOP!#REF!,[134]BOP!$A$79:$IV$79,[134]BOP!$A$81:$IV$88,[134]BOP!#REF!</definedName>
    <definedName name="Z_112039DB_FF0B_11D1_98B3_00C04FC96ABD_.wvu.Rows" localSheetId="21" hidden="1">[134]BOP!$A$36:$IV$36,[134]BOP!$A$44:$IV$44,[134]BOP!$A$59:$IV$59,[134]BOP!#REF!,[134]BOP!#REF!,[134]BOP!$A$79:$IV$79,[134]BOP!$A$81:$IV$88,[134]BOP!#REF!,[134]BOP!#REF!</definedName>
    <definedName name="Z_112039DB_FF0B_11D1_98B3_00C04FC96ABD_.wvu.Rows" localSheetId="1" hidden="1">[134]BOP!$A$36:$IV$36,[134]BOP!$A$44:$IV$44,[134]BOP!$A$59:$IV$59,[134]BOP!#REF!,[134]BOP!#REF!,[134]BOP!$A$79:$IV$79,[134]BOP!$A$81:$IV$88,[134]BOP!#REF!,[134]BOP!#REF!</definedName>
    <definedName name="Z_112039DB_FF0B_11D1_98B3_00C04FC96ABD_.wvu.Rows" localSheetId="0" hidden="1">[134]BOP!$A$36:$IV$36,[134]BOP!$A$44:$IV$44,[134]BOP!$A$59:$IV$59,[134]BOP!#REF!,[134]BOP!#REF!,[134]BOP!$A$79:$IV$79,[134]BOP!$A$81:$IV$88,[134]BOP!#REF!,[134]BOP!#REF!</definedName>
    <definedName name="Z_112039DB_FF0B_11D1_98B3_00C04FC96ABD_.wvu.Rows" hidden="1">[134]BOP!$A$36:$IV$36,[134]BOP!$A$44:$IV$44,[134]BOP!$A$59:$IV$59,[134]BOP!#REF!,[134]BOP!#REF!,[134]BOP!$A$79:$IV$79,[134]BOP!$A$81:$IV$88,[134]BOP!#REF!,[134]BOP!#REF!</definedName>
    <definedName name="Z_112039DC_FF0B_11D1_98B3_00C04FC96ABD_.wvu.Rows" localSheetId="21" hidden="1">[134]BOP!$A$36:$IV$36,[134]BOP!$A$44:$IV$44,[134]BOP!$A$59:$IV$59,[134]BOP!#REF!,[134]BOP!#REF!,[134]BOP!$A$79:$IV$79,[134]BOP!$A$81:$IV$88,[134]BOP!#REF!,[134]BOP!#REF!</definedName>
    <definedName name="Z_112039DC_FF0B_11D1_98B3_00C04FC96ABD_.wvu.Rows" localSheetId="1" hidden="1">[134]BOP!$A$36:$IV$36,[134]BOP!$A$44:$IV$44,[134]BOP!$A$59:$IV$59,[134]BOP!#REF!,[134]BOP!#REF!,[134]BOP!$A$79:$IV$79,[134]BOP!$A$81:$IV$88,[134]BOP!#REF!,[134]BOP!#REF!</definedName>
    <definedName name="Z_112039DC_FF0B_11D1_98B3_00C04FC96ABD_.wvu.Rows" localSheetId="0" hidden="1">[134]BOP!$A$36:$IV$36,[134]BOP!$A$44:$IV$44,[134]BOP!$A$59:$IV$59,[134]BOP!#REF!,[134]BOP!#REF!,[134]BOP!$A$79:$IV$79,[134]BOP!$A$81:$IV$88,[134]BOP!#REF!,[134]BOP!#REF!</definedName>
    <definedName name="Z_112039DC_FF0B_11D1_98B3_00C04FC96ABD_.wvu.Rows" hidden="1">[134]BOP!$A$36:$IV$36,[134]BOP!$A$44:$IV$44,[134]BOP!$A$59:$IV$59,[134]BOP!#REF!,[134]BOP!#REF!,[134]BOP!$A$79:$IV$79,[134]BOP!$A$81:$IV$88,[134]BOP!#REF!,[134]BOP!#REF!</definedName>
    <definedName name="Z_112039DD_FF0B_11D1_98B3_00C04FC96ABD_.wvu.Rows" hidden="1">[134]BOP!$A$36:$IV$36,[134]BOP!$A$44:$IV$44,[134]BOP!$A$59:$IV$59,[134]BOP!#REF!,[134]BOP!#REF!,[134]BOP!$A$79:$IV$79</definedName>
    <definedName name="Z_112B8339_2081_11D2_BFD2_00A02466506E_.wvu.PrintTitles" hidden="1">[34]SUMMARY!$B$1:$D$65536,[34]SUMMARY!$A$3:$IV$5</definedName>
    <definedName name="Z_112B833B_2081_11D2_BFD2_00A02466506E_.wvu.PrintTitles" hidden="1">[34]SUMMARY!$B$1:$D$65536,[34]SUMMARY!$A$3:$IV$5</definedName>
    <definedName name="Z_1A87067C_7102_4E77_BC8D_D9D9112AA17F_.wvu.Cols" localSheetId="21" hidden="1">#REF!</definedName>
    <definedName name="Z_1A87067C_7102_4E77_BC8D_D9D9112AA17F_.wvu.Cols" localSheetId="1"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21" hidden="1">#REF!</definedName>
    <definedName name="Z_1A87067C_7102_4E77_BC8D_D9D9112AA17F_.wvu.PrintArea" localSheetId="1"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21" hidden="1">#REF!</definedName>
    <definedName name="Z_1A87067C_7102_4E77_BC8D_D9D9112AA17F_.wvu.PrintTitles" localSheetId="1"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21" hidden="1">#REF!</definedName>
    <definedName name="Z_1A87067C_7102_4E77_BC8D_D9D9112AA17F_.wvu.Rows" localSheetId="1" hidden="1">#REF!</definedName>
    <definedName name="Z_1A87067C_7102_4E77_BC8D_D9D9112AA17F_.wvu.Rows" localSheetId="0" hidden="1">#REF!</definedName>
    <definedName name="Z_1A87067C_7102_4E77_BC8D_D9D9112AA17F_.wvu.Rows" hidden="1">#REF!</definedName>
    <definedName name="Z_1A8C061B_2301_11D3_BFD1_000039E37209_.wvu.Cols" hidden="1">'[227]IDA-tab7'!$K$1:$T$65536,'[227]IDA-tab7'!$V$1:$AE$65536,'[227]IDA-tab7'!$AG$1:$AP$65536</definedName>
    <definedName name="Z_1A8C061B_2301_11D3_BFD1_000039E37209_.wvu.Rows" hidden="1">'[227]IDA-tab7'!$A$10:$IV$11,'[227]IDA-tab7'!$A$14:$IV$14,'[227]IDA-tab7'!$A$18:$IV$18</definedName>
    <definedName name="Z_1A8C061C_2301_11D3_BFD1_000039E37209_.wvu.Cols" hidden="1">'[227]IDA-tab7'!$K$1:$T$65536,'[227]IDA-tab7'!$V$1:$AE$65536,'[227]IDA-tab7'!$AG$1:$AP$65536</definedName>
    <definedName name="Z_1A8C061C_2301_11D3_BFD1_000039E37209_.wvu.Rows" hidden="1">'[227]IDA-tab7'!$A$10:$IV$11,'[227]IDA-tab7'!$A$14:$IV$14,'[227]IDA-tab7'!$A$18:$IV$18</definedName>
    <definedName name="Z_1A8C061E_2301_11D3_BFD1_000039E37209_.wvu.Cols" hidden="1">'[227]IDA-tab7'!$K$1:$T$65536,'[227]IDA-tab7'!$V$1:$AE$65536,'[227]IDA-tab7'!$AG$1:$AP$65536</definedName>
    <definedName name="Z_1A8C061E_2301_11D3_BFD1_000039E37209_.wvu.Rows" hidden="1">'[227]IDA-tab7'!$A$10:$IV$11,'[227]IDA-tab7'!$A$14:$IV$14,'[227]IDA-tab7'!$A$18:$IV$18</definedName>
    <definedName name="Z_1A8C061F_2301_11D3_BFD1_000039E37209_.wvu.Cols" hidden="1">'[227]IDA-tab7'!$K$1:$T$65536,'[227]IDA-tab7'!$V$1:$AE$65536,'[227]IDA-tab7'!$AG$1:$AP$65536</definedName>
    <definedName name="Z_1A8C061F_2301_11D3_BFD1_000039E37209_.wvu.Rows" hidden="1">'[227]IDA-tab7'!$A$10:$IV$11,'[227]IDA-tab7'!$A$14:$IV$14,'[227]IDA-tab7'!$A$18:$IV$18</definedName>
    <definedName name="Z_1F4C2007_FFA7_11D1_98B6_00C04FC96ABD_.wvu.Rows" hidden="1">[134]BOP!$A$36:$IV$36,[134]BOP!$A$44:$IV$44,[134]BOP!$A$59:$IV$59,[134]BOP!#REF!,[134]BOP!#REF!,[134]BOP!$A$81:$IV$88</definedName>
    <definedName name="Z_1F4C2008_FFA7_11D1_98B6_00C04FC96ABD_.wvu.Rows" hidden="1">[134]BOP!$A$36:$IV$36,[134]BOP!$A$44:$IV$44,[134]BOP!$A$59:$IV$59,[134]BOP!#REF!,[134]BOP!#REF!,[134]BOP!$A$81:$IV$88</definedName>
    <definedName name="Z_1F4C2009_FFA7_11D1_98B6_00C04FC96ABD_.wvu.Rows" hidden="1">[134]BOP!$A$36:$IV$36,[134]BOP!$A$44:$IV$44,[134]BOP!$A$59:$IV$59,[134]BOP!#REF!,[134]BOP!#REF!,[134]BOP!$A$81:$IV$88</definedName>
    <definedName name="Z_1F4C200A_FFA7_11D1_98B6_00C04FC96ABD_.wvu.Rows" hidden="1">[134]BOP!$A$36:$IV$36,[134]BOP!$A$44:$IV$44,[134]BOP!$A$59:$IV$59,[134]BOP!#REF!,[134]BOP!#REF!,[134]BOP!$A$81:$IV$88</definedName>
    <definedName name="Z_1F4C200B_FFA7_11D1_98B6_00C04FC96ABD_.wvu.Rows" hidden="1">[134]BOP!$A$36:$IV$36,[134]BOP!$A$44:$IV$44,[134]BOP!$A$59:$IV$59,[134]BOP!#REF!,[134]BOP!#REF!,[134]BOP!$A$79:$IV$79,[134]BOP!$A$81:$IV$88,[134]BOP!#REF!</definedName>
    <definedName name="Z_1F4C200C_FFA7_11D1_98B6_00C04FC96ABD_.wvu.Rows" hidden="1">[134]BOP!$A$36:$IV$36,[134]BOP!$A$44:$IV$44,[134]BOP!$A$59:$IV$59,[134]BOP!#REF!,[134]BOP!#REF!,[134]BOP!$A$79:$IV$79,[134]BOP!$A$81:$IV$88</definedName>
    <definedName name="Z_1F4C200D_FFA7_11D1_98B6_00C04FC96ABD_.wvu.Rows" hidden="1">[134]BOP!$A$36:$IV$36,[134]BOP!$A$44:$IV$44,[134]BOP!$A$59:$IV$59,[134]BOP!#REF!,[134]BOP!#REF!,[134]BOP!$A$79:$IV$79,[134]BOP!#REF!</definedName>
    <definedName name="Z_1F4C200E_FFA7_11D1_98B6_00C04FC96ABD_.wvu.Rows" hidden="1">[134]BOP!$A$36:$IV$36,[134]BOP!$A$44:$IV$44,[134]BOP!$A$59:$IV$59,[134]BOP!#REF!,[134]BOP!#REF!,[134]BOP!$A$79:$IV$79,[134]BOP!$A$81:$IV$88,[134]BOP!#REF!</definedName>
    <definedName name="Z_1F4C200F_FFA7_11D1_98B6_00C04FC96ABD_.wvu.Rows" hidden="1">[134]BOP!$A$36:$IV$36,[134]BOP!$A$44:$IV$44,[134]BOP!$A$59:$IV$59,[134]BOP!#REF!,[134]BOP!#REF!,[134]BOP!$A$79:$IV$79,[134]BOP!$A$81:$IV$88,[134]BOP!#REF!</definedName>
    <definedName name="Z_1F4C2010_FFA7_11D1_98B6_00C04FC96ABD_.wvu.Rows" hidden="1">[134]BOP!$A$36:$IV$36,[134]BOP!$A$44:$IV$44,[134]BOP!$A$59:$IV$59,[134]BOP!#REF!,[134]BOP!#REF!,[134]BOP!$A$79:$IV$79,[134]BOP!$A$81:$IV$88,[134]BOP!#REF!</definedName>
    <definedName name="Z_1F4C2012_FFA7_11D1_98B6_00C04FC96ABD_.wvu.Rows" hidden="1">[134]BOP!$A$36:$IV$36,[134]BOP!$A$44:$IV$44,[134]BOP!$A$59:$IV$59,[134]BOP!#REF!,[134]BOP!#REF!,[134]BOP!$A$79:$IV$79,[134]BOP!$A$81:$IV$88,[134]BOP!#REF!,[134]BOP!#REF!</definedName>
    <definedName name="Z_1F4C2013_FFA7_11D1_98B6_00C04FC96ABD_.wvu.Rows" hidden="1">[134]BOP!$A$36:$IV$36,[134]BOP!$A$44:$IV$44,[134]BOP!$A$59:$IV$59,[134]BOP!#REF!,[134]BOP!#REF!,[134]BOP!$A$79:$IV$79,[134]BOP!$A$81:$IV$88,[134]BOP!#REF!,[134]BOP!#REF!</definedName>
    <definedName name="Z_1F4C2014_FFA7_11D1_98B6_00C04FC96ABD_.wvu.Rows" hidden="1">[134]BOP!$A$36:$IV$36,[134]BOP!$A$44:$IV$44,[134]BOP!$A$59:$IV$59,[134]BOP!#REF!,[134]BOP!#REF!,[134]BOP!$A$79:$IV$79</definedName>
    <definedName name="Z_315808AF_2093_11D2_BFD2_00A02466B458_.wvu.PrintArea" localSheetId="21" hidden="1">#REF!</definedName>
    <definedName name="Z_315808AF_2093_11D2_BFD2_00A02466B458_.wvu.PrintArea" hidden="1">#REF!</definedName>
    <definedName name="Z_49B0A4B0_963B_11D1_BFD1_00A02466B680_.wvu.Rows" hidden="1">[134]BOP!$A$36:$IV$36,[134]BOP!$A$44:$IV$44,[134]BOP!$A$59:$IV$59,[134]BOP!#REF!,[134]BOP!#REF!,[134]BOP!$A$81:$IV$88</definedName>
    <definedName name="Z_49B0A4B1_963B_11D1_BFD1_00A02466B680_.wvu.Rows" hidden="1">[134]BOP!$A$36:$IV$36,[134]BOP!$A$44:$IV$44,[134]BOP!$A$59:$IV$59,[134]BOP!#REF!,[134]BOP!#REF!,[134]BOP!$A$81:$IV$88</definedName>
    <definedName name="Z_49B0A4B4_963B_11D1_BFD1_00A02466B680_.wvu.Rows" hidden="1">[134]BOP!$A$36:$IV$36,[134]BOP!$A$44:$IV$44,[134]BOP!$A$59:$IV$59,[134]BOP!#REF!,[134]BOP!#REF!,[134]BOP!$A$79:$IV$79,[134]BOP!$A$81:$IV$88,[134]BOP!#REF!</definedName>
    <definedName name="Z_49B0A4B5_963B_11D1_BFD1_00A02466B680_.wvu.Rows" hidden="1">[134]BOP!$A$36:$IV$36,[134]BOP!$A$44:$IV$44,[134]BOP!$A$59:$IV$59,[134]BOP!#REF!,[134]BOP!#REF!,[134]BOP!$A$79:$IV$79,[134]BOP!$A$81:$IV$88</definedName>
    <definedName name="Z_49B0A4B6_963B_11D1_BFD1_00A02466B680_.wvu.Rows" hidden="1">[134]BOP!$A$36:$IV$36,[134]BOP!$A$44:$IV$44,[134]BOP!$A$59:$IV$59,[134]BOP!#REF!,[134]BOP!#REF!,[134]BOP!$A$79:$IV$79,[134]BOP!#REF!</definedName>
    <definedName name="Z_49B0A4B7_963B_11D1_BFD1_00A02466B680_.wvu.Rows" hidden="1">[134]BOP!$A$36:$IV$36,[134]BOP!$A$44:$IV$44,[134]BOP!$A$59:$IV$59,[134]BOP!#REF!,[134]BOP!#REF!,[134]BOP!$A$79:$IV$79,[134]BOP!$A$81:$IV$88,[134]BOP!#REF!</definedName>
    <definedName name="Z_49B0A4B8_963B_11D1_BFD1_00A02466B680_.wvu.Rows" hidden="1">[134]BOP!$A$36:$IV$36,[134]BOP!$A$44:$IV$44,[134]BOP!$A$59:$IV$59,[134]BOP!#REF!,[134]BOP!#REF!,[134]BOP!$A$79:$IV$79,[134]BOP!$A$81:$IV$88,[134]BOP!#REF!</definedName>
    <definedName name="Z_49B0A4B9_963B_11D1_BFD1_00A02466B680_.wvu.Rows" hidden="1">[134]BOP!$A$36:$IV$36,[134]BOP!$A$44:$IV$44,[134]BOP!$A$59:$IV$59,[134]BOP!#REF!,[134]BOP!#REF!,[134]BOP!$A$79:$IV$79,[134]BOP!$A$81:$IV$88,[134]BOP!#REF!</definedName>
    <definedName name="Z_49B0A4BB_963B_11D1_BFD1_00A02466B680_.wvu.Rows" hidden="1">[134]BOP!$A$36:$IV$36,[134]BOP!$A$44:$IV$44,[134]BOP!$A$59:$IV$59,[134]BOP!#REF!,[134]BOP!#REF!,[134]BOP!$A$79:$IV$79,[134]BOP!$A$81:$IV$88,[134]BOP!#REF!,[134]BOP!#REF!</definedName>
    <definedName name="Z_49B0A4BC_963B_11D1_BFD1_00A02466B680_.wvu.Rows" hidden="1">[134]BOP!$A$36:$IV$36,[134]BOP!$A$44:$IV$44,[134]BOP!$A$59:$IV$59,[134]BOP!#REF!,[134]BOP!#REF!,[134]BOP!$A$79:$IV$79,[134]BOP!$A$81:$IV$88,[134]BOP!#REF!,[134]BOP!#REF!</definedName>
    <definedName name="Z_49B0A4BD_963B_11D1_BFD1_00A02466B680_.wvu.Rows" hidden="1">[134]BOP!$A$36:$IV$36,[134]BOP!$A$44:$IV$44,[134]BOP!$A$59:$IV$59,[134]BOP!#REF!,[134]BOP!#REF!,[134]BOP!$A$79:$IV$79</definedName>
    <definedName name="Z_5F3A46A2_1A22_4FA5_A3C5_1DEBD8BB3B53_.wvu.Cols" localSheetId="21" hidden="1">#REF!</definedName>
    <definedName name="Z_5F3A46A2_1A22_4FA5_A3C5_1DEBD8BB3B53_.wvu.Cols" localSheetId="1"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21" hidden="1">#REF!</definedName>
    <definedName name="Z_5F3A46A2_1A22_4FA5_A3C5_1DEBD8BB3B53_.wvu.PrintArea" localSheetId="1"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21" hidden="1">#REF!</definedName>
    <definedName name="Z_5F3A46A2_1A22_4FA5_A3C5_1DEBD8BB3B53_.wvu.PrintTitles" localSheetId="1"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21" hidden="1">#REF!</definedName>
    <definedName name="Z_5F3A46A2_1A22_4FA5_A3C5_1DEBD8BB3B53_.wvu.Rows" localSheetId="1" hidden="1">#REF!</definedName>
    <definedName name="Z_5F3A46A2_1A22_4FA5_A3C5_1DEBD8BB3B53_.wvu.Rows" localSheetId="0" hidden="1">#REF!</definedName>
    <definedName name="Z_5F3A46A2_1A22_4FA5_A3C5_1DEBD8BB3B53_.wvu.Rows" hidden="1">#REF!</definedName>
    <definedName name="Z_65976840_70A2_11D2_BFD1_C1F7123CE332_.wvu.PrintTitles" hidden="1">[34]SUMMARY!$B$1:$D$65536,[34]SUMMARY!$A$3:$IV$5</definedName>
    <definedName name="Z_95224721_0485_11D4_BFD1_00508B5F4DA4_.wvu.Cols" localSheetId="21" hidden="1">#REF!</definedName>
    <definedName name="Z_95224721_0485_11D4_BFD1_00508B5F4DA4_.wvu.Cols" localSheetId="1" hidden="1">#REF!</definedName>
    <definedName name="Z_95224721_0485_11D4_BFD1_00508B5F4DA4_.wvu.Cols" localSheetId="0" hidden="1">#REF!</definedName>
    <definedName name="Z_95224721_0485_11D4_BFD1_00508B5F4DA4_.wvu.Cols" hidden="1">#REF!</definedName>
    <definedName name="Z_9E0C48F8_FFCC_11D1_98BA_00C04FC96ABD_.wvu.Rows" hidden="1">[134]BOP!$A$36:$IV$36,[134]BOP!$A$44:$IV$44,[134]BOP!$A$59:$IV$59,[134]BOP!#REF!,[134]BOP!#REF!,[134]BOP!$A$81:$IV$88</definedName>
    <definedName name="Z_9E0C48F9_FFCC_11D1_98BA_00C04FC96ABD_.wvu.Rows" hidden="1">[134]BOP!$A$36:$IV$36,[134]BOP!$A$44:$IV$44,[134]BOP!$A$59:$IV$59,[134]BOP!#REF!,[134]BOP!#REF!,[134]BOP!$A$81:$IV$88</definedName>
    <definedName name="Z_9E0C48FA_FFCC_11D1_98BA_00C04FC96ABD_.wvu.Rows" hidden="1">[134]BOP!$A$36:$IV$36,[134]BOP!$A$44:$IV$44,[134]BOP!$A$59:$IV$59,[134]BOP!#REF!,[134]BOP!#REF!,[134]BOP!$A$81:$IV$88</definedName>
    <definedName name="Z_9E0C48FB_FFCC_11D1_98BA_00C04FC96ABD_.wvu.Rows" hidden="1">[134]BOP!$A$36:$IV$36,[134]BOP!$A$44:$IV$44,[134]BOP!$A$59:$IV$59,[134]BOP!#REF!,[134]BOP!#REF!,[134]BOP!$A$81:$IV$88</definedName>
    <definedName name="Z_9E0C48FC_FFCC_11D1_98BA_00C04FC96ABD_.wvu.Rows" hidden="1">[134]BOP!$A$36:$IV$36,[134]BOP!$A$44:$IV$44,[134]BOP!$A$59:$IV$59,[134]BOP!#REF!,[134]BOP!#REF!,[134]BOP!$A$79:$IV$79,[134]BOP!$A$81:$IV$88,[134]BOP!#REF!</definedName>
    <definedName name="Z_9E0C48FD_FFCC_11D1_98BA_00C04FC96ABD_.wvu.Rows" hidden="1">[134]BOP!$A$36:$IV$36,[134]BOP!$A$44:$IV$44,[134]BOP!$A$59:$IV$59,[134]BOP!#REF!,[134]BOP!#REF!,[134]BOP!$A$79:$IV$79,[134]BOP!$A$81:$IV$88</definedName>
    <definedName name="Z_9E0C48FE_FFCC_11D1_98BA_00C04FC96ABD_.wvu.Rows" hidden="1">[134]BOP!$A$36:$IV$36,[134]BOP!$A$44:$IV$44,[134]BOP!$A$59:$IV$59,[134]BOP!#REF!,[134]BOP!#REF!,[134]BOP!$A$79:$IV$79,[134]BOP!#REF!</definedName>
    <definedName name="Z_9E0C48FF_FFCC_11D1_98BA_00C04FC96ABD_.wvu.Rows" hidden="1">[134]BOP!$A$36:$IV$36,[134]BOP!$A$44:$IV$44,[134]BOP!$A$59:$IV$59,[134]BOP!#REF!,[134]BOP!#REF!,[134]BOP!$A$79:$IV$79,[134]BOP!$A$81:$IV$88,[134]BOP!#REF!</definedName>
    <definedName name="Z_9E0C4900_FFCC_11D1_98BA_00C04FC96ABD_.wvu.Rows" hidden="1">[134]BOP!$A$36:$IV$36,[134]BOP!$A$44:$IV$44,[134]BOP!$A$59:$IV$59,[134]BOP!#REF!,[134]BOP!#REF!,[134]BOP!$A$79:$IV$79,[134]BOP!$A$81:$IV$88,[134]BOP!#REF!</definedName>
    <definedName name="Z_9E0C4901_FFCC_11D1_98BA_00C04FC96ABD_.wvu.Rows" hidden="1">[134]BOP!$A$36:$IV$36,[134]BOP!$A$44:$IV$44,[134]BOP!$A$59:$IV$59,[134]BOP!#REF!,[134]BOP!#REF!,[134]BOP!$A$79:$IV$79,[134]BOP!$A$81:$IV$88,[134]BOP!#REF!</definedName>
    <definedName name="Z_9E0C4903_FFCC_11D1_98BA_00C04FC96ABD_.wvu.Rows" hidden="1">[134]BOP!$A$36:$IV$36,[134]BOP!$A$44:$IV$44,[134]BOP!$A$59:$IV$59,[134]BOP!#REF!,[134]BOP!#REF!,[134]BOP!$A$79:$IV$79,[134]BOP!$A$81:$IV$88,[134]BOP!#REF!,[134]BOP!#REF!</definedName>
    <definedName name="Z_9E0C4904_FFCC_11D1_98BA_00C04FC96ABD_.wvu.Rows" hidden="1">[134]BOP!$A$36:$IV$36,[134]BOP!$A$44:$IV$44,[134]BOP!$A$59:$IV$59,[134]BOP!#REF!,[134]BOP!#REF!,[134]BOP!$A$79:$IV$79,[134]BOP!$A$81:$IV$88,[134]BOP!#REF!,[134]BOP!#REF!</definedName>
    <definedName name="Z_9E0C4905_FFCC_11D1_98BA_00C04FC96ABD_.wvu.Rows" hidden="1">[134]BOP!$A$36:$IV$36,[134]BOP!$A$44:$IV$44,[134]BOP!$A$59:$IV$59,[134]BOP!#REF!,[134]BOP!#REF!,[134]BOP!$A$79:$IV$79</definedName>
    <definedName name="Z_B424DD41_AAD0_11D2_BFD1_00A02466506E_.wvu.PrintTitles" hidden="1">[34]SUMMARY!$B$1:$D$65536,[34]SUMMARY!$A$3:$IV$5</definedName>
    <definedName name="Z_BC2BFA12_1C91_11D2_BFD2_00A02466506E_.wvu.PrintTitles" hidden="1">[34]SUMMARY!$B$1:$D$65536,[34]SUMMARY!$A$3:$IV$5</definedName>
    <definedName name="Z_C21FAE85_013A_11D2_98BD_00C04FC96ABD_.wvu.Rows" hidden="1">[134]BOP!$A$36:$IV$36,[134]BOP!$A$44:$IV$44,[134]BOP!$A$59:$IV$59,[134]BOP!#REF!,[134]BOP!#REF!,[134]BOP!$A$81:$IV$88</definedName>
    <definedName name="Z_C21FAE86_013A_11D2_98BD_00C04FC96ABD_.wvu.Rows" hidden="1">[134]BOP!$A$36:$IV$36,[134]BOP!$A$44:$IV$44,[134]BOP!$A$59:$IV$59,[134]BOP!#REF!,[134]BOP!#REF!,[134]BOP!$A$81:$IV$88</definedName>
    <definedName name="Z_C21FAE87_013A_11D2_98BD_00C04FC96ABD_.wvu.Rows" hidden="1">[134]BOP!$A$36:$IV$36,[134]BOP!$A$44:$IV$44,[134]BOP!$A$59:$IV$59,[134]BOP!#REF!,[134]BOP!#REF!,[134]BOP!$A$81:$IV$88</definedName>
    <definedName name="Z_C21FAE88_013A_11D2_98BD_00C04FC96ABD_.wvu.Rows" hidden="1">[134]BOP!$A$36:$IV$36,[134]BOP!$A$44:$IV$44,[134]BOP!$A$59:$IV$59,[134]BOP!#REF!,[134]BOP!#REF!,[134]BOP!$A$81:$IV$88</definedName>
    <definedName name="Z_C21FAE89_013A_11D2_98BD_00C04FC96ABD_.wvu.Rows" hidden="1">[134]BOP!$A$36:$IV$36,[134]BOP!$A$44:$IV$44,[134]BOP!$A$59:$IV$59,[134]BOP!#REF!,[134]BOP!#REF!,[134]BOP!$A$79:$IV$79,[134]BOP!$A$81:$IV$88,[134]BOP!#REF!</definedName>
    <definedName name="Z_C21FAE8A_013A_11D2_98BD_00C04FC96ABD_.wvu.Rows" hidden="1">[134]BOP!$A$36:$IV$36,[134]BOP!$A$44:$IV$44,[134]BOP!$A$59:$IV$59,[134]BOP!#REF!,[134]BOP!#REF!,[134]BOP!$A$79:$IV$79,[134]BOP!$A$81:$IV$88</definedName>
    <definedName name="Z_C21FAE8B_013A_11D2_98BD_00C04FC96ABD_.wvu.Rows" hidden="1">[134]BOP!$A$36:$IV$36,[134]BOP!$A$44:$IV$44,[134]BOP!$A$59:$IV$59,[134]BOP!#REF!,[134]BOP!#REF!,[134]BOP!$A$79:$IV$79,[134]BOP!#REF!</definedName>
    <definedName name="Z_C21FAE8C_013A_11D2_98BD_00C04FC96ABD_.wvu.Rows" hidden="1">[134]BOP!$A$36:$IV$36,[134]BOP!$A$44:$IV$44,[134]BOP!$A$59:$IV$59,[134]BOP!#REF!,[134]BOP!#REF!,[134]BOP!$A$79:$IV$79,[134]BOP!$A$81:$IV$88,[134]BOP!#REF!</definedName>
    <definedName name="Z_C21FAE8D_013A_11D2_98BD_00C04FC96ABD_.wvu.Rows" hidden="1">[134]BOP!$A$36:$IV$36,[134]BOP!$A$44:$IV$44,[134]BOP!$A$59:$IV$59,[134]BOP!#REF!,[134]BOP!#REF!,[134]BOP!$A$79:$IV$79,[134]BOP!$A$81:$IV$88,[134]BOP!#REF!</definedName>
    <definedName name="Z_C21FAE8E_013A_11D2_98BD_00C04FC96ABD_.wvu.Rows" hidden="1">[134]BOP!$A$36:$IV$36,[134]BOP!$A$44:$IV$44,[134]BOP!$A$59:$IV$59,[134]BOP!#REF!,[134]BOP!#REF!,[134]BOP!$A$79:$IV$79,[134]BOP!$A$81:$IV$88,[134]BOP!#REF!</definedName>
    <definedName name="Z_C21FAE90_013A_11D2_98BD_00C04FC96ABD_.wvu.Rows" hidden="1">[134]BOP!$A$36:$IV$36,[134]BOP!$A$44:$IV$44,[134]BOP!$A$59:$IV$59,[134]BOP!#REF!,[134]BOP!#REF!,[134]BOP!$A$79:$IV$79,[134]BOP!$A$81:$IV$88,[134]BOP!#REF!,[134]BOP!#REF!</definedName>
    <definedName name="Z_C21FAE91_013A_11D2_98BD_00C04FC96ABD_.wvu.Rows" hidden="1">[134]BOP!$A$36:$IV$36,[134]BOP!$A$44:$IV$44,[134]BOP!$A$59:$IV$59,[134]BOP!#REF!,[134]BOP!#REF!,[134]BOP!$A$79:$IV$79,[134]BOP!$A$81:$IV$88,[134]BOP!#REF!,[134]BOP!#REF!</definedName>
    <definedName name="Z_C21FAE92_013A_11D2_98BD_00C04FC96ABD_.wvu.Rows" hidden="1">[134]BOP!$A$36:$IV$36,[134]BOP!$A$44:$IV$44,[134]BOP!$A$59:$IV$59,[134]BOP!#REF!,[134]BOP!#REF!,[134]BOP!$A$79:$IV$79</definedName>
    <definedName name="Z_C4C43014_90BF_11D1_BFD1_00A0246650E9_.wvu.PrintArea" localSheetId="21" hidden="1">#REF!</definedName>
    <definedName name="Z_C4C43014_90BF_11D1_BFD1_00A0246650E9_.wvu.PrintArea" hidden="1">#REF!</definedName>
    <definedName name="Z_C4C43016_90BF_11D1_BFD1_00A0246650E9_.wvu.PrintArea" localSheetId="21" hidden="1">#REF!</definedName>
    <definedName name="Z_C4C43016_90BF_11D1_BFD1_00A0246650E9_.wvu.PrintArea" hidden="1">#REF!</definedName>
    <definedName name="Z_C4C43017_90BF_11D1_BFD1_00A0246650E9_.wvu.PrintArea" localSheetId="21" hidden="1">#REF!</definedName>
    <definedName name="Z_C4C43017_90BF_11D1_BFD1_00A0246650E9_.wvu.PrintArea" hidden="1">#REF!</definedName>
    <definedName name="Z_C4C43018_90BF_11D1_BFD1_00A0246650E9_.wvu.PrintArea" localSheetId="21" hidden="1">#REF!</definedName>
    <definedName name="Z_C4C43018_90BF_11D1_BFD1_00A0246650E9_.wvu.PrintArea" hidden="1">#REF!</definedName>
    <definedName name="Z_C4C4301A_90BF_11D1_BFD1_00A0246650E9_.wvu.PrintArea" localSheetId="21" hidden="1">#REF!</definedName>
    <definedName name="Z_C4C4301A_90BF_11D1_BFD1_00A0246650E9_.wvu.PrintArea" hidden="1">#REF!</definedName>
    <definedName name="Z_C4C4301B_90BF_11D1_BFD1_00A0246650E9_.wvu.PrintArea" localSheetId="21" hidden="1">#REF!</definedName>
    <definedName name="Z_C4C4301B_90BF_11D1_BFD1_00A0246650E9_.wvu.PrintArea" hidden="1">#REF!</definedName>
    <definedName name="Z_C4C4301C_90BF_11D1_BFD1_00A0246650E9_.wvu.PrintArea" localSheetId="21" hidden="1">#REF!</definedName>
    <definedName name="Z_C4C4301C_90BF_11D1_BFD1_00A0246650E9_.wvu.PrintArea" hidden="1">#REF!</definedName>
    <definedName name="Z_C4C4301D_90BF_11D1_BFD1_00A0246650E9_.wvu.PrintArea" localSheetId="21" hidden="1">#REF!</definedName>
    <definedName name="Z_C4C4301D_90BF_11D1_BFD1_00A0246650E9_.wvu.PrintArea" hidden="1">#REF!</definedName>
    <definedName name="Z_C4C4301E_90BF_11D1_BFD1_00A0246650E9_.wvu.PrintArea" localSheetId="21" hidden="1">#REF!</definedName>
    <definedName name="Z_C4C4301E_90BF_11D1_BFD1_00A0246650E9_.wvu.PrintArea" hidden="1">#REF!</definedName>
    <definedName name="Z_CF25EF4A_FFAB_11D1_98B7_00C04FC96ABD_.wvu.Rows" hidden="1">[134]BOP!$A$36:$IV$36,[134]BOP!$A$44:$IV$44,[134]BOP!$A$59:$IV$59,[134]BOP!#REF!,[134]BOP!#REF!,[134]BOP!$A$81:$IV$88</definedName>
    <definedName name="Z_CF25EF4B_FFAB_11D1_98B7_00C04FC96ABD_.wvu.Rows" hidden="1">[134]BOP!$A$36:$IV$36,[134]BOP!$A$44:$IV$44,[134]BOP!$A$59:$IV$59,[134]BOP!#REF!,[134]BOP!#REF!,[134]BOP!$A$81:$IV$88</definedName>
    <definedName name="Z_CF25EF4C_FFAB_11D1_98B7_00C04FC96ABD_.wvu.Rows" hidden="1">[134]BOP!$A$36:$IV$36,[134]BOP!$A$44:$IV$44,[134]BOP!$A$59:$IV$59,[134]BOP!#REF!,[134]BOP!#REF!,[134]BOP!$A$81:$IV$88</definedName>
    <definedName name="Z_CF25EF4D_FFAB_11D1_98B7_00C04FC96ABD_.wvu.Rows" hidden="1">[134]BOP!$A$36:$IV$36,[134]BOP!$A$44:$IV$44,[134]BOP!$A$59:$IV$59,[134]BOP!#REF!,[134]BOP!#REF!,[134]BOP!$A$81:$IV$88</definedName>
    <definedName name="Z_CF25EF4E_FFAB_11D1_98B7_00C04FC96ABD_.wvu.Rows" hidden="1">[134]BOP!$A$36:$IV$36,[134]BOP!$A$44:$IV$44,[134]BOP!$A$59:$IV$59,[134]BOP!#REF!,[134]BOP!#REF!,[134]BOP!$A$79:$IV$79,[134]BOP!$A$81:$IV$88,[134]BOP!#REF!</definedName>
    <definedName name="Z_CF25EF4F_FFAB_11D1_98B7_00C04FC96ABD_.wvu.Rows" hidden="1">[134]BOP!$A$36:$IV$36,[134]BOP!$A$44:$IV$44,[134]BOP!$A$59:$IV$59,[134]BOP!#REF!,[134]BOP!#REF!,[134]BOP!$A$79:$IV$79,[134]BOP!$A$81:$IV$88</definedName>
    <definedName name="Z_CF25EF50_FFAB_11D1_98B7_00C04FC96ABD_.wvu.Rows" hidden="1">[134]BOP!$A$36:$IV$36,[134]BOP!$A$44:$IV$44,[134]BOP!$A$59:$IV$59,[134]BOP!#REF!,[134]BOP!#REF!,[134]BOP!$A$79:$IV$79,[134]BOP!#REF!</definedName>
    <definedName name="Z_CF25EF51_FFAB_11D1_98B7_00C04FC96ABD_.wvu.Rows" hidden="1">[134]BOP!$A$36:$IV$36,[134]BOP!$A$44:$IV$44,[134]BOP!$A$59:$IV$59,[134]BOP!#REF!,[134]BOP!#REF!,[134]BOP!$A$79:$IV$79,[134]BOP!$A$81:$IV$88,[134]BOP!#REF!</definedName>
    <definedName name="Z_CF25EF52_FFAB_11D1_98B7_00C04FC96ABD_.wvu.Rows" hidden="1">[134]BOP!$A$36:$IV$36,[134]BOP!$A$44:$IV$44,[134]BOP!$A$59:$IV$59,[134]BOP!#REF!,[134]BOP!#REF!,[134]BOP!$A$79:$IV$79,[134]BOP!$A$81:$IV$88,[134]BOP!#REF!</definedName>
    <definedName name="Z_CF25EF53_FFAB_11D1_98B7_00C04FC96ABD_.wvu.Rows" hidden="1">[134]BOP!$A$36:$IV$36,[134]BOP!$A$44:$IV$44,[134]BOP!$A$59:$IV$59,[134]BOP!#REF!,[134]BOP!#REF!,[134]BOP!$A$79:$IV$79,[134]BOP!$A$81:$IV$88,[134]BOP!#REF!</definedName>
    <definedName name="Z_CF25EF55_FFAB_11D1_98B7_00C04FC96ABD_.wvu.Rows" hidden="1">[134]BOP!$A$36:$IV$36,[134]BOP!$A$44:$IV$44,[134]BOP!$A$59:$IV$59,[134]BOP!#REF!,[134]BOP!#REF!,[134]BOP!$A$79:$IV$79,[134]BOP!$A$81:$IV$88,[134]BOP!#REF!,[134]BOP!#REF!</definedName>
    <definedName name="Z_CF25EF56_FFAB_11D1_98B7_00C04FC96ABD_.wvu.Rows" hidden="1">[134]BOP!$A$36:$IV$36,[134]BOP!$A$44:$IV$44,[134]BOP!$A$59:$IV$59,[134]BOP!#REF!,[134]BOP!#REF!,[134]BOP!$A$79:$IV$79,[134]BOP!$A$81:$IV$88,[134]BOP!#REF!,[134]BOP!#REF!</definedName>
    <definedName name="Z_CF25EF57_FFAB_11D1_98B7_00C04FC96ABD_.wvu.Rows" hidden="1">[134]BOP!$A$36:$IV$36,[134]BOP!$A$44:$IV$44,[134]BOP!$A$59:$IV$59,[134]BOP!#REF!,[134]BOP!#REF!,[134]BOP!$A$79:$IV$79</definedName>
    <definedName name="Z_D11C16A0_9E7B_11D1_BFD2_00A0246650E9_.wvu.PrintArea" localSheetId="21" hidden="1">#REF!</definedName>
    <definedName name="Z_D11C16A0_9E7B_11D1_BFD2_00A0246650E9_.wvu.PrintArea" hidden="1">#REF!</definedName>
    <definedName name="Z_E6B74681_BCE1_11D2_BFD1_00A02466506E_.wvu.PrintTitles" hidden="1">[34]SUMMARY!$B$1:$D$65536,[34]SUMMARY!$A$3:$IV$5</definedName>
    <definedName name="Z_EA8011E5_017A_11D2_98BD_00C04FC96ABD_.wvu.Rows" hidden="1">[134]BOP!$A$36:$IV$36,[134]BOP!$A$44:$IV$44,[134]BOP!$A$59:$IV$59,[134]BOP!#REF!,[134]BOP!#REF!,[134]BOP!$A$79:$IV$79,[134]BOP!$A$81:$IV$88</definedName>
    <definedName name="Z_EA8011E6_017A_11D2_98BD_00C04FC96ABD_.wvu.Rows" hidden="1">[134]BOP!$A$36:$IV$36,[134]BOP!$A$44:$IV$44,[134]BOP!$A$59:$IV$59,[134]BOP!#REF!,[134]BOP!#REF!,[134]BOP!$A$79:$IV$79,[134]BOP!#REF!</definedName>
    <definedName name="Z_EA8011E9_017A_11D2_98BD_00C04FC96ABD_.wvu.Rows" hidden="1">[134]BOP!$A$36:$IV$36,[134]BOP!$A$44:$IV$44,[134]BOP!$A$59:$IV$59,[134]BOP!#REF!,[134]BOP!#REF!,[134]BOP!$A$79:$IV$79,[134]BOP!$A$81:$IV$88,[134]BOP!#REF!</definedName>
    <definedName name="Z_EA8011EC_017A_11D2_98BD_00C04FC96ABD_.wvu.Rows" hidden="1">[134]BOP!$A$36:$IV$36,[134]BOP!$A$44:$IV$44,[134]BOP!$A$59:$IV$59,[134]BOP!#REF!,[134]BOP!#REF!,[134]BOP!$A$79:$IV$79,[134]BOP!$A$81:$IV$88,[134]BOP!#REF!,[134]BOP!#REF!</definedName>
    <definedName name="Z_EA86CE3A_00A2_11D2_98BC_00C04FC96ABD_.wvu.Rows" hidden="1">[134]BOP!$A$36:$IV$36,[134]BOP!$A$44:$IV$44,[134]BOP!$A$59:$IV$59,[134]BOP!#REF!,[134]BOP!#REF!,[134]BOP!$A$81:$IV$88</definedName>
    <definedName name="Z_EA86CE3B_00A2_11D2_98BC_00C04FC96ABD_.wvu.Rows" hidden="1">[134]BOP!$A$36:$IV$36,[134]BOP!$A$44:$IV$44,[134]BOP!$A$59:$IV$59,[134]BOP!#REF!,[134]BOP!#REF!,[134]BOP!$A$81:$IV$88</definedName>
    <definedName name="Z_EA86CE3C_00A2_11D2_98BC_00C04FC96ABD_.wvu.Rows" hidden="1">[134]BOP!$A$36:$IV$36,[134]BOP!$A$44:$IV$44,[134]BOP!$A$59:$IV$59,[134]BOP!#REF!,[134]BOP!#REF!,[134]BOP!$A$81:$IV$88</definedName>
    <definedName name="Z_EA86CE3D_00A2_11D2_98BC_00C04FC96ABD_.wvu.Rows" hidden="1">[134]BOP!$A$36:$IV$36,[134]BOP!$A$44:$IV$44,[134]BOP!$A$59:$IV$59,[134]BOP!#REF!,[134]BOP!#REF!,[134]BOP!$A$81:$IV$88</definedName>
    <definedName name="Z_EA86CE3E_00A2_11D2_98BC_00C04FC96ABD_.wvu.Rows" hidden="1">[134]BOP!$A$36:$IV$36,[134]BOP!$A$44:$IV$44,[134]BOP!$A$59:$IV$59,[134]BOP!#REF!,[134]BOP!#REF!,[134]BOP!$A$79:$IV$79,[134]BOP!$A$81:$IV$88,[134]BOP!#REF!</definedName>
    <definedName name="Z_EA86CE3F_00A2_11D2_98BC_00C04FC96ABD_.wvu.Rows" hidden="1">[134]BOP!$A$36:$IV$36,[134]BOP!$A$44:$IV$44,[134]BOP!$A$59:$IV$59,[134]BOP!#REF!,[134]BOP!#REF!,[134]BOP!$A$79:$IV$79,[134]BOP!$A$81:$IV$88</definedName>
    <definedName name="Z_EA86CE40_00A2_11D2_98BC_00C04FC96ABD_.wvu.Rows" hidden="1">[134]BOP!$A$36:$IV$36,[134]BOP!$A$44:$IV$44,[134]BOP!$A$59:$IV$59,[134]BOP!#REF!,[134]BOP!#REF!,[134]BOP!$A$79:$IV$79,[134]BOP!#REF!</definedName>
    <definedName name="Z_EA86CE41_00A2_11D2_98BC_00C04FC96ABD_.wvu.Rows" hidden="1">[134]BOP!$A$36:$IV$36,[134]BOP!$A$44:$IV$44,[134]BOP!$A$59:$IV$59,[134]BOP!#REF!,[134]BOP!#REF!,[134]BOP!$A$79:$IV$79,[134]BOP!$A$81:$IV$88,[134]BOP!#REF!</definedName>
    <definedName name="Z_EA86CE42_00A2_11D2_98BC_00C04FC96ABD_.wvu.Rows" hidden="1">[134]BOP!$A$36:$IV$36,[134]BOP!$A$44:$IV$44,[134]BOP!$A$59:$IV$59,[134]BOP!#REF!,[134]BOP!#REF!,[134]BOP!$A$79:$IV$79,[134]BOP!$A$81:$IV$88,[134]BOP!#REF!</definedName>
    <definedName name="Z_EA86CE43_00A2_11D2_98BC_00C04FC96ABD_.wvu.Rows" hidden="1">[134]BOP!$A$36:$IV$36,[134]BOP!$A$44:$IV$44,[134]BOP!$A$59:$IV$59,[134]BOP!#REF!,[134]BOP!#REF!,[134]BOP!$A$79:$IV$79,[134]BOP!$A$81:$IV$88,[134]BOP!#REF!</definedName>
    <definedName name="Z_EA86CE45_00A2_11D2_98BC_00C04FC96ABD_.wvu.Rows" hidden="1">[134]BOP!$A$36:$IV$36,[134]BOP!$A$44:$IV$44,[134]BOP!$A$59:$IV$59,[134]BOP!#REF!,[134]BOP!#REF!,[134]BOP!$A$79:$IV$79,[134]BOP!$A$81:$IV$88,[134]BOP!#REF!,[134]BOP!#REF!</definedName>
    <definedName name="Z_EA86CE46_00A2_11D2_98BC_00C04FC96ABD_.wvu.Rows" hidden="1">[134]BOP!$A$36:$IV$36,[134]BOP!$A$44:$IV$44,[134]BOP!$A$59:$IV$59,[134]BOP!#REF!,[134]BOP!#REF!,[134]BOP!$A$79:$IV$79,[134]BOP!$A$81:$IV$88,[134]BOP!#REF!,[134]BOP!#REF!</definedName>
    <definedName name="Z_EA86CE47_00A2_11D2_98BC_00C04FC96ABD_.wvu.Rows" hidden="1">[134]BOP!$A$36:$IV$36,[134]BOP!$A$44:$IV$44,[134]BOP!$A$59:$IV$59,[134]BOP!#REF!,[134]BOP!#REF!,[134]BOP!$A$79:$IV$79</definedName>
    <definedName name="zb" localSheetId="21" hidden="1">{"WEO",#N/A,FALSE,"T"}</definedName>
    <definedName name="zb" localSheetId="1" hidden="1">{"WEO",#N/A,FALSE,"T"}</definedName>
    <definedName name="zb" localSheetId="0" hidden="1">{"WEO",#N/A,FALSE,"T"}</definedName>
    <definedName name="zb" hidden="1">{"WEO",#N/A,FALSE,"T"}</definedName>
    <definedName name="zc" localSheetId="21" hidden="1">{"Tab1",#N/A,FALSE,"P";"Tab2",#N/A,FALSE,"P"}</definedName>
    <definedName name="zc" localSheetId="1" hidden="1">{"Tab1",#N/A,FALSE,"P";"Tab2",#N/A,FALSE,"P"}</definedName>
    <definedName name="zc" localSheetId="0" hidden="1">{"Tab1",#N/A,FALSE,"P";"Tab2",#N/A,FALSE,"P"}</definedName>
    <definedName name="zc" hidden="1">{"Tab1",#N/A,FALSE,"P";"Tab2",#N/A,FALSE,"P"}</definedName>
    <definedName name="zczxcz" localSheetId="21" hidden="1">{"Tab1",#N/A,FALSE,"P";"Tab2",#N/A,FALSE,"P"}</definedName>
    <definedName name="zczxcz" localSheetId="1" hidden="1">{"Tab1",#N/A,FALSE,"P";"Tab2",#N/A,FALSE,"P"}</definedName>
    <definedName name="zczxcz" localSheetId="0" hidden="1">{"Tab1",#N/A,FALSE,"P";"Tab2",#N/A,FALSE,"P"}</definedName>
    <definedName name="zczxcz" hidden="1">{"Tab1",#N/A,FALSE,"P";"Tab2",#N/A,FALSE,"P"}</definedName>
    <definedName name="zio" localSheetId="21" hidden="1">{"Tab1",#N/A,FALSE,"P";"Tab2",#N/A,FALSE,"P"}</definedName>
    <definedName name="zio" localSheetId="1" hidden="1">{"Tab1",#N/A,FALSE,"P";"Tab2",#N/A,FALSE,"P"}</definedName>
    <definedName name="zio" localSheetId="0" hidden="1">{"Tab1",#N/A,FALSE,"P";"Tab2",#N/A,FALSE,"P"}</definedName>
    <definedName name="zio" hidden="1">{"Tab1",#N/A,FALSE,"P";"Tab2",#N/A,FALSE,"P"}</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[0]!ZnFHaeuf</definedName>
    <definedName name="zv" localSheetId="21" hidden="1">{"Minpmon",#N/A,FALSE,"Monthinput"}</definedName>
    <definedName name="zv" localSheetId="1" hidden="1">{"Minpmon",#N/A,FALSE,"Monthinput"}</definedName>
    <definedName name="zv" localSheetId="0" hidden="1">{"Minpmon",#N/A,FALSE,"Monthinput"}</definedName>
    <definedName name="zv" hidden="1">{"Minpmon",#N/A,FALSE,"Monthinput"}</definedName>
    <definedName name="zx" localSheetId="21" hidden="1">{"Tab1",#N/A,FALSE,"P";"Tab2",#N/A,FALSE,"P"}</definedName>
    <definedName name="zx" localSheetId="1" hidden="1">{"Tab1",#N/A,FALSE,"P";"Tab2",#N/A,FALSE,"P"}</definedName>
    <definedName name="zx" localSheetId="0" hidden="1">{"Tab1",#N/A,FALSE,"P";"Tab2",#N/A,FALSE,"P"}</definedName>
    <definedName name="zx" hidden="1">{"Tab1",#N/A,FALSE,"P";"Tab2",#N/A,FALSE,"P"}</definedName>
    <definedName name="zxc" localSheetId="21" hidden="1">{"Tab1",#N/A,FALSE,"P";"Tab2",#N/A,FALSE,"P"}</definedName>
    <definedName name="zxc" localSheetId="1" hidden="1">{"Tab1",#N/A,FALSE,"P";"Tab2",#N/A,FALSE,"P"}</definedName>
    <definedName name="zxc" localSheetId="0" hidden="1">{"Tab1",#N/A,FALSE,"P";"Tab2",#N/A,FALSE,"P"}</definedName>
    <definedName name="zxc" hidden="1">{"Tab1",#N/A,FALSE,"P";"Tab2",#N/A,FALSE,"P"}</definedName>
    <definedName name="zxcv" localSheetId="21" hidden="1">{"Tab1",#N/A,FALSE,"P";"Tab2",#N/A,FALSE,"P"}</definedName>
    <definedName name="zxcv" localSheetId="1" hidden="1">{"Tab1",#N/A,FALSE,"P";"Tab2",#N/A,FALSE,"P"}</definedName>
    <definedName name="zxcv" localSheetId="0" hidden="1">{"Tab1",#N/A,FALSE,"P";"Tab2",#N/A,FALSE,"P"}</definedName>
    <definedName name="zxcv" hidden="1">{"Tab1",#N/A,FALSE,"P";"Tab2",#N/A,FALSE,"P"}</definedName>
    <definedName name="zz" localSheetId="21" hidden="1">{"Tab1",#N/A,FALSE,"P";"Tab2",#N/A,FALSE,"P"}</definedName>
    <definedName name="zz" localSheetId="1" hidden="1">{"Tab1",#N/A,FALSE,"P";"Tab2",#N/A,FALSE,"P"}</definedName>
    <definedName name="zz" localSheetId="0" hidden="1">{"Tab1",#N/A,FALSE,"P";"Tab2",#N/A,FALSE,"P"}</definedName>
    <definedName name="zz" hidden="1">{"Tab1",#N/A,FALSE,"P";"Tab2",#N/A,FALSE,"P"}</definedName>
    <definedName name="zzz" localSheetId="21" hidden="1">{"Minpmon",#N/A,FALSE,"Monthinput"}</definedName>
    <definedName name="zzz" localSheetId="1" hidden="1">{"Minpmon",#N/A,FALSE,"Monthinput"}</definedName>
    <definedName name="zzz" localSheetId="0" hidden="1">{"Minpmon",#N/A,FALSE,"Monthinput"}</definedName>
    <definedName name="zzz" hidden="1">{"Minpmon",#N/A,FALSE,"Monthinput"}</definedName>
    <definedName name="zzzz" localSheetId="21" hidden="1">{"Tab1",#N/A,FALSE,"P";"Tab2",#N/A,FALSE,"P"}</definedName>
    <definedName name="zzzz" localSheetId="1" hidden="1">{"Tab1",#N/A,FALSE,"P";"Tab2",#N/A,FALSE,"P"}</definedName>
    <definedName name="zzzz" localSheetId="0" hidden="1">{"Tab1",#N/A,FALSE,"P";"Tab2",#N/A,FALSE,"P"}</definedName>
    <definedName name="zzzz" hidden="1">{"Tab1",#N/A,FALSE,"P";"Tab2",#N/A,FALSE,"P"}</definedName>
    <definedName name="금액">#REF!</definedName>
    <definedName name="기관수">#REF!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69" l="1"/>
  <c r="B2" i="68"/>
  <c r="B2" i="67"/>
  <c r="B2" i="66"/>
  <c r="B2" i="65"/>
  <c r="B2" i="64"/>
  <c r="B2" i="63"/>
  <c r="B2" i="62"/>
  <c r="B2" i="61"/>
  <c r="B2" i="60"/>
  <c r="B2" i="59"/>
  <c r="B2" i="58"/>
  <c r="B2" i="57"/>
  <c r="B2" i="56"/>
  <c r="B2" i="55"/>
  <c r="B2" i="54"/>
  <c r="B2" i="53"/>
  <c r="B2" i="52"/>
  <c r="B2" i="51"/>
  <c r="B2" i="50"/>
  <c r="B2" i="49"/>
  <c r="B2" i="48"/>
  <c r="AG44" i="42"/>
  <c r="AE44" i="42"/>
  <c r="AC44" i="42"/>
  <c r="AA44" i="42"/>
  <c r="Y44" i="42"/>
  <c r="AG41" i="42"/>
  <c r="AE41" i="42"/>
  <c r="AC41" i="42"/>
  <c r="AA41" i="42"/>
  <c r="Y41" i="42"/>
  <c r="AG40" i="42"/>
  <c r="AE40" i="42"/>
  <c r="AC40" i="42"/>
  <c r="AA40" i="42"/>
  <c r="Y40" i="42"/>
  <c r="AG39" i="42"/>
  <c r="AE39" i="42"/>
  <c r="AC39" i="42"/>
  <c r="AA39" i="42"/>
  <c r="Y39" i="42"/>
  <c r="AG38" i="42"/>
  <c r="AE38" i="42"/>
  <c r="AC38" i="42"/>
  <c r="AA38" i="42"/>
  <c r="Y38" i="42"/>
  <c r="AG37" i="42"/>
  <c r="AE37" i="42"/>
  <c r="AC37" i="42"/>
  <c r="AA37" i="42"/>
  <c r="Y37" i="42"/>
  <c r="AG36" i="42"/>
  <c r="AE36" i="42"/>
  <c r="AC36" i="42"/>
  <c r="AA36" i="42"/>
  <c r="Y36" i="42"/>
  <c r="AG35" i="42"/>
  <c r="AE35" i="42"/>
  <c r="AC35" i="42"/>
  <c r="AA35" i="42"/>
  <c r="Y35" i="42"/>
  <c r="AG34" i="42"/>
  <c r="AE34" i="42"/>
  <c r="AC34" i="42"/>
  <c r="AA34" i="42"/>
  <c r="Y34" i="42"/>
  <c r="AG33" i="42"/>
  <c r="AE33" i="42"/>
  <c r="AC33" i="42"/>
  <c r="AA33" i="42"/>
  <c r="AL33" i="42" s="1"/>
  <c r="AL34" i="42" s="1"/>
  <c r="AL35" i="42" s="1"/>
  <c r="AL36" i="42" s="1"/>
  <c r="AL37" i="42" s="1"/>
  <c r="AL38" i="42" s="1"/>
  <c r="AL39" i="42" s="1"/>
  <c r="AL40" i="42" s="1"/>
  <c r="AL41" i="42" s="1"/>
  <c r="Y33" i="42"/>
  <c r="AN32" i="42"/>
  <c r="AN33" i="42" s="1"/>
  <c r="AN34" i="42" s="1"/>
  <c r="AN35" i="42" s="1"/>
  <c r="AN36" i="42" s="1"/>
  <c r="AN37" i="42" s="1"/>
  <c r="AN38" i="42" s="1"/>
  <c r="AN39" i="42" s="1"/>
  <c r="AN40" i="42" s="1"/>
  <c r="AN41" i="42" s="1"/>
  <c r="AL32" i="42"/>
  <c r="AG32" i="42"/>
  <c r="AR32" i="42" s="1"/>
  <c r="AR33" i="42" s="1"/>
  <c r="AR34" i="42" s="1"/>
  <c r="AR35" i="42" s="1"/>
  <c r="AR36" i="42" s="1"/>
  <c r="AR37" i="42" s="1"/>
  <c r="AR38" i="42" s="1"/>
  <c r="AR39" i="42" s="1"/>
  <c r="AR40" i="42" s="1"/>
  <c r="AR41" i="42" s="1"/>
  <c r="AE32" i="42"/>
  <c r="AP32" i="42" s="1"/>
  <c r="AP33" i="42" s="1"/>
  <c r="AP34" i="42" s="1"/>
  <c r="AP35" i="42" s="1"/>
  <c r="AP36" i="42" s="1"/>
  <c r="AP37" i="42" s="1"/>
  <c r="AP38" i="42" s="1"/>
  <c r="AP39" i="42" s="1"/>
  <c r="AP40" i="42" s="1"/>
  <c r="AP41" i="42" s="1"/>
  <c r="AC32" i="42"/>
  <c r="AA32" i="42"/>
  <c r="Y32" i="42"/>
  <c r="AJ32" i="42" s="1"/>
  <c r="AJ33" i="42" s="1"/>
  <c r="AJ34" i="42" s="1"/>
  <c r="AJ35" i="42" s="1"/>
  <c r="AJ36" i="42" s="1"/>
  <c r="AJ37" i="42" s="1"/>
  <c r="AJ38" i="42" s="1"/>
  <c r="AJ39" i="42" s="1"/>
  <c r="AJ40" i="42" s="1"/>
  <c r="AJ41" i="42" s="1"/>
  <c r="AG19" i="42"/>
  <c r="AE19" i="42"/>
  <c r="AC19" i="42"/>
  <c r="AA19" i="42"/>
  <c r="Y19" i="42"/>
  <c r="AG16" i="42"/>
  <c r="AE16" i="42"/>
  <c r="AC16" i="42"/>
  <c r="AA16" i="42"/>
  <c r="Y16" i="42"/>
  <c r="AG15" i="42"/>
  <c r="AE15" i="42"/>
  <c r="AC15" i="42"/>
  <c r="AA15" i="42"/>
  <c r="Y15" i="42"/>
  <c r="AG14" i="42"/>
  <c r="AE14" i="42"/>
  <c r="AC14" i="42"/>
  <c r="AA14" i="42"/>
  <c r="Y14" i="42"/>
  <c r="AG13" i="42"/>
  <c r="AE13" i="42"/>
  <c r="AC13" i="42"/>
  <c r="AA13" i="42"/>
  <c r="Y13" i="42"/>
  <c r="AG12" i="42"/>
  <c r="AE12" i="42"/>
  <c r="AC12" i="42"/>
  <c r="AA12" i="42"/>
  <c r="Y12" i="42"/>
  <c r="AG11" i="42"/>
  <c r="AE11" i="42"/>
  <c r="AC11" i="42"/>
  <c r="AA11" i="42"/>
  <c r="Y11" i="42"/>
  <c r="AG10" i="42"/>
  <c r="AE10" i="42"/>
  <c r="AC10" i="42"/>
  <c r="AA10" i="42"/>
  <c r="Y10" i="42"/>
  <c r="AG9" i="42"/>
  <c r="AE9" i="42"/>
  <c r="AC9" i="42"/>
  <c r="AA9" i="42"/>
  <c r="Y9" i="42"/>
  <c r="AG8" i="42"/>
  <c r="AE8" i="42"/>
  <c r="AC8" i="42"/>
  <c r="AA8" i="42"/>
  <c r="Y8" i="42"/>
  <c r="AP7" i="42"/>
  <c r="AP8" i="42" s="1"/>
  <c r="AP9" i="42" s="1"/>
  <c r="AP10" i="42" s="1"/>
  <c r="AP11" i="42" s="1"/>
  <c r="AP12" i="42" s="1"/>
  <c r="AP13" i="42" s="1"/>
  <c r="AP14" i="42" s="1"/>
  <c r="AP15" i="42" s="1"/>
  <c r="AP16" i="42" s="1"/>
  <c r="AG7" i="42"/>
  <c r="AR7" i="42" s="1"/>
  <c r="AR8" i="42" s="1"/>
  <c r="AR9" i="42" s="1"/>
  <c r="AR10" i="42" s="1"/>
  <c r="AR11" i="42" s="1"/>
  <c r="AR12" i="42" s="1"/>
  <c r="AR13" i="42" s="1"/>
  <c r="AR14" i="42" s="1"/>
  <c r="AR15" i="42" s="1"/>
  <c r="AR16" i="42" s="1"/>
  <c r="AE7" i="42"/>
  <c r="AC7" i="42"/>
  <c r="AN7" i="42" s="1"/>
  <c r="AN8" i="42" s="1"/>
  <c r="AN9" i="42" s="1"/>
  <c r="AN10" i="42" s="1"/>
  <c r="AN11" i="42" s="1"/>
  <c r="AN12" i="42" s="1"/>
  <c r="AN13" i="42" s="1"/>
  <c r="AN14" i="42" s="1"/>
  <c r="AN15" i="42" s="1"/>
  <c r="AN16" i="42" s="1"/>
  <c r="AA7" i="42"/>
  <c r="AL7" i="42" s="1"/>
  <c r="AL8" i="42" s="1"/>
  <c r="AL9" i="42" s="1"/>
  <c r="AL10" i="42" s="1"/>
  <c r="AL11" i="42" s="1"/>
  <c r="AL12" i="42" s="1"/>
  <c r="AL13" i="42" s="1"/>
  <c r="AL14" i="42" s="1"/>
  <c r="AL15" i="42" s="1"/>
  <c r="AL16" i="42" s="1"/>
  <c r="Y7" i="42"/>
  <c r="AJ7" i="42" s="1"/>
  <c r="AJ8" i="42" s="1"/>
  <c r="AJ9" i="42" s="1"/>
  <c r="AJ10" i="42" s="1"/>
  <c r="AJ11" i="42" s="1"/>
  <c r="AJ12" i="42" s="1"/>
  <c r="AJ13" i="42" s="1"/>
  <c r="AJ14" i="42" s="1"/>
  <c r="AJ15" i="42" s="1"/>
  <c r="AJ16" i="42" s="1"/>
  <c r="Z293" i="40"/>
  <c r="V293" i="40"/>
  <c r="Z292" i="40"/>
  <c r="V292" i="40"/>
  <c r="Z291" i="40"/>
  <c r="V291" i="40"/>
  <c r="Z290" i="40"/>
  <c r="V290" i="40"/>
  <c r="Z289" i="40"/>
  <c r="V289" i="40"/>
  <c r="Z288" i="40"/>
  <c r="V288" i="40"/>
  <c r="Z287" i="40"/>
  <c r="V287" i="40"/>
  <c r="Z286" i="40"/>
  <c r="V286" i="40"/>
  <c r="Z285" i="40"/>
  <c r="V285" i="40"/>
  <c r="Z284" i="40"/>
  <c r="V284" i="40"/>
  <c r="Z283" i="40"/>
  <c r="V283" i="40"/>
  <c r="Z282" i="40"/>
  <c r="V282" i="40"/>
  <c r="Z281" i="40"/>
  <c r="V281" i="40"/>
  <c r="Z280" i="40"/>
  <c r="V280" i="40"/>
  <c r="Z279" i="40"/>
  <c r="V279" i="40"/>
  <c r="Z278" i="40"/>
  <c r="V278" i="40"/>
  <c r="Z277" i="40"/>
  <c r="V277" i="40"/>
  <c r="Z276" i="40"/>
  <c r="V276" i="40"/>
  <c r="Z275" i="40"/>
  <c r="V275" i="40"/>
  <c r="Z274" i="40"/>
  <c r="V274" i="40"/>
  <c r="Z273" i="40"/>
  <c r="V273" i="40"/>
  <c r="Z272" i="40"/>
  <c r="V272" i="40"/>
  <c r="Z271" i="40"/>
  <c r="V271" i="40"/>
  <c r="Z270" i="40"/>
  <c r="V270" i="40"/>
  <c r="Z269" i="40"/>
  <c r="V269" i="40"/>
  <c r="Z268" i="40"/>
  <c r="V268" i="40"/>
  <c r="Z267" i="40"/>
  <c r="V267" i="40"/>
  <c r="Z266" i="40"/>
  <c r="V266" i="40"/>
  <c r="Z265" i="40"/>
  <c r="V265" i="40"/>
  <c r="Z264" i="40"/>
  <c r="V264" i="40"/>
  <c r="Z263" i="40"/>
  <c r="V263" i="40"/>
  <c r="Z262" i="40"/>
  <c r="V262" i="40"/>
  <c r="Z261" i="40"/>
  <c r="V261" i="40"/>
  <c r="Z260" i="40"/>
  <c r="V260" i="40"/>
  <c r="Z259" i="40"/>
  <c r="V259" i="40"/>
  <c r="Z258" i="40"/>
  <c r="V258" i="40"/>
  <c r="Z257" i="40"/>
  <c r="V257" i="40"/>
  <c r="Z256" i="40"/>
  <c r="V256" i="40"/>
  <c r="Z255" i="40"/>
  <c r="V255" i="40"/>
  <c r="Z254" i="40"/>
  <c r="V254" i="40"/>
  <c r="Z253" i="40"/>
  <c r="V253" i="40"/>
  <c r="Z252" i="40"/>
  <c r="V252" i="40"/>
  <c r="Z251" i="40"/>
  <c r="V251" i="40"/>
  <c r="Z250" i="40"/>
  <c r="V250" i="40"/>
  <c r="Z249" i="40"/>
  <c r="V249" i="40"/>
  <c r="Z248" i="40"/>
  <c r="V248" i="40"/>
  <c r="Z247" i="40"/>
  <c r="V247" i="40"/>
  <c r="Z246" i="40"/>
  <c r="V246" i="40"/>
  <c r="Z245" i="40"/>
  <c r="V245" i="40"/>
  <c r="Z244" i="40"/>
  <c r="V244" i="40"/>
  <c r="Z243" i="40"/>
  <c r="V243" i="40"/>
  <c r="Z242" i="40"/>
  <c r="V242" i="40"/>
  <c r="Z241" i="40"/>
  <c r="V241" i="40"/>
  <c r="Z240" i="40"/>
  <c r="V240" i="40"/>
  <c r="Z239" i="40"/>
  <c r="V239" i="40"/>
  <c r="Z238" i="40"/>
  <c r="V238" i="40"/>
  <c r="Z237" i="40"/>
  <c r="V237" i="40"/>
  <c r="Z236" i="40"/>
  <c r="V236" i="40"/>
  <c r="Z235" i="40"/>
  <c r="V235" i="40"/>
  <c r="Z234" i="40"/>
  <c r="V234" i="40"/>
  <c r="Z233" i="40"/>
  <c r="V233" i="40"/>
  <c r="Z232" i="40"/>
  <c r="V232" i="40"/>
  <c r="Z231" i="40"/>
  <c r="V231" i="40"/>
  <c r="Z230" i="40"/>
  <c r="V230" i="40"/>
  <c r="Z229" i="40"/>
  <c r="V229" i="40"/>
  <c r="Z228" i="40"/>
  <c r="V228" i="40"/>
  <c r="Z227" i="40"/>
  <c r="V227" i="40"/>
  <c r="Z226" i="40"/>
  <c r="V226" i="40"/>
  <c r="Z225" i="40"/>
  <c r="V225" i="40"/>
  <c r="Z224" i="40"/>
  <c r="V224" i="40"/>
  <c r="Z223" i="40"/>
  <c r="V223" i="40"/>
  <c r="Z222" i="40"/>
  <c r="V222" i="40"/>
  <c r="Z221" i="40"/>
  <c r="V221" i="40"/>
  <c r="Z220" i="40"/>
  <c r="V220" i="40"/>
  <c r="Z219" i="40"/>
  <c r="V219" i="40"/>
  <c r="Z218" i="40"/>
  <c r="V218" i="40"/>
  <c r="Z217" i="40"/>
  <c r="V217" i="40"/>
  <c r="Z216" i="40"/>
  <c r="V216" i="40"/>
  <c r="Z215" i="40"/>
  <c r="V215" i="40"/>
  <c r="Z214" i="40"/>
  <c r="V214" i="40"/>
  <c r="Z213" i="40"/>
  <c r="V213" i="40"/>
  <c r="Z212" i="40"/>
  <c r="V212" i="40"/>
  <c r="Z211" i="40"/>
  <c r="V211" i="40"/>
  <c r="Z210" i="40"/>
  <c r="V210" i="40"/>
  <c r="Z209" i="40"/>
  <c r="V209" i="40"/>
  <c r="Z208" i="40"/>
  <c r="V208" i="40"/>
  <c r="Z207" i="40"/>
  <c r="V207" i="40"/>
  <c r="Z206" i="40"/>
  <c r="V206" i="40"/>
  <c r="Z205" i="40"/>
  <c r="V205" i="40"/>
  <c r="Z204" i="40"/>
  <c r="V204" i="40"/>
  <c r="Z203" i="40"/>
  <c r="V203" i="40"/>
  <c r="Z202" i="40"/>
  <c r="V202" i="40"/>
  <c r="Z201" i="40"/>
  <c r="V201" i="40"/>
  <c r="Z200" i="40"/>
  <c r="V200" i="40"/>
  <c r="Z199" i="40"/>
  <c r="V199" i="40"/>
  <c r="Z198" i="40"/>
  <c r="V198" i="40"/>
  <c r="Z197" i="40"/>
  <c r="V197" i="40"/>
  <c r="Z196" i="40"/>
  <c r="V196" i="40"/>
  <c r="Z195" i="40"/>
  <c r="V195" i="40"/>
  <c r="Z194" i="40"/>
  <c r="V194" i="40"/>
  <c r="Z193" i="40"/>
  <c r="V193" i="40"/>
  <c r="Z192" i="40"/>
  <c r="V192" i="40"/>
  <c r="Z191" i="40"/>
  <c r="V191" i="40"/>
  <c r="Z190" i="40"/>
  <c r="V190" i="40"/>
  <c r="Z189" i="40"/>
  <c r="V189" i="40"/>
  <c r="Z188" i="40"/>
  <c r="V188" i="40"/>
  <c r="Z187" i="40"/>
  <c r="V187" i="40"/>
  <c r="Z186" i="40"/>
  <c r="V186" i="40"/>
  <c r="Z185" i="40"/>
  <c r="V185" i="40"/>
  <c r="Z184" i="40"/>
  <c r="V184" i="40"/>
  <c r="Z183" i="40"/>
  <c r="V183" i="40"/>
  <c r="Z182" i="40"/>
  <c r="V182" i="40"/>
  <c r="Z181" i="40"/>
  <c r="V181" i="40"/>
  <c r="Z180" i="40"/>
  <c r="V180" i="40"/>
  <c r="Z179" i="40"/>
  <c r="V179" i="40"/>
  <c r="Z178" i="40"/>
  <c r="V178" i="40"/>
  <c r="Z177" i="40"/>
  <c r="V177" i="40"/>
  <c r="Z176" i="40"/>
  <c r="V176" i="40"/>
  <c r="Z175" i="40"/>
  <c r="V175" i="40"/>
  <c r="Z174" i="40"/>
  <c r="V174" i="40"/>
  <c r="Z173" i="40"/>
  <c r="V173" i="40"/>
  <c r="Z172" i="40"/>
  <c r="V172" i="40"/>
  <c r="Z171" i="40"/>
  <c r="V171" i="40"/>
  <c r="Z170" i="40"/>
  <c r="V170" i="40"/>
  <c r="Z169" i="40"/>
  <c r="V169" i="40"/>
  <c r="Z168" i="40"/>
  <c r="V168" i="40"/>
  <c r="Z167" i="40"/>
  <c r="V167" i="40"/>
  <c r="Z166" i="40"/>
  <c r="V166" i="40"/>
  <c r="Z165" i="40"/>
  <c r="V165" i="40"/>
  <c r="Z164" i="40"/>
  <c r="V164" i="40"/>
  <c r="Z163" i="40"/>
  <c r="V163" i="40"/>
  <c r="Z162" i="40"/>
  <c r="V162" i="40"/>
  <c r="Z161" i="40"/>
  <c r="V161" i="40"/>
  <c r="Z160" i="40"/>
  <c r="V160" i="40"/>
  <c r="Z159" i="40"/>
  <c r="V159" i="40"/>
  <c r="Z158" i="40"/>
  <c r="V158" i="40"/>
  <c r="Z157" i="40"/>
  <c r="V157" i="40"/>
  <c r="Z156" i="40"/>
  <c r="V156" i="40"/>
  <c r="Z155" i="40"/>
  <c r="V155" i="40"/>
  <c r="Z154" i="40"/>
  <c r="V154" i="40"/>
  <c r="Z153" i="40"/>
  <c r="V153" i="40"/>
  <c r="Z152" i="40"/>
  <c r="V152" i="40"/>
  <c r="Z151" i="40"/>
  <c r="V151" i="40"/>
  <c r="Z150" i="40"/>
  <c r="V150" i="40"/>
  <c r="Z149" i="40"/>
  <c r="V149" i="40"/>
  <c r="Z148" i="40"/>
  <c r="V148" i="40"/>
  <c r="Z147" i="40"/>
  <c r="V147" i="40"/>
  <c r="Z146" i="40"/>
  <c r="V146" i="40"/>
  <c r="Z145" i="40"/>
  <c r="V145" i="40"/>
  <c r="Z144" i="40"/>
  <c r="V144" i="40"/>
  <c r="Z143" i="40"/>
  <c r="V143" i="40"/>
  <c r="Z142" i="40"/>
  <c r="V142" i="40"/>
  <c r="Z141" i="40"/>
  <c r="V141" i="40"/>
  <c r="Z140" i="40"/>
  <c r="V140" i="40"/>
  <c r="Z139" i="40"/>
  <c r="V139" i="40"/>
  <c r="Z138" i="40"/>
  <c r="V138" i="40"/>
  <c r="Z137" i="40"/>
  <c r="V137" i="40"/>
  <c r="Z136" i="40"/>
  <c r="V136" i="40"/>
  <c r="Z135" i="40"/>
  <c r="V135" i="40"/>
  <c r="Z134" i="40"/>
  <c r="V134" i="40"/>
  <c r="Z133" i="40"/>
  <c r="V133" i="40"/>
  <c r="Z132" i="40"/>
  <c r="V132" i="40"/>
  <c r="Z131" i="40"/>
  <c r="V131" i="40"/>
  <c r="Z130" i="40"/>
  <c r="V130" i="40"/>
  <c r="Z129" i="40"/>
  <c r="V129" i="40"/>
  <c r="Z128" i="40"/>
  <c r="V128" i="40"/>
  <c r="Z127" i="40"/>
  <c r="V127" i="40"/>
  <c r="Z126" i="40"/>
  <c r="V126" i="40"/>
  <c r="Z125" i="40"/>
  <c r="V125" i="40"/>
  <c r="Z124" i="40"/>
  <c r="V124" i="40"/>
  <c r="Z123" i="40"/>
  <c r="V123" i="40"/>
  <c r="Z122" i="40"/>
  <c r="V122" i="40"/>
  <c r="Z121" i="40"/>
  <c r="V121" i="40"/>
  <c r="Z120" i="40"/>
  <c r="V120" i="40"/>
  <c r="Z119" i="40"/>
  <c r="V119" i="40"/>
  <c r="Z118" i="40"/>
  <c r="V118" i="40"/>
  <c r="Z117" i="40"/>
  <c r="V117" i="40"/>
  <c r="Z116" i="40"/>
  <c r="V116" i="40"/>
  <c r="Z115" i="40"/>
  <c r="V115" i="40"/>
  <c r="Z114" i="40"/>
  <c r="V114" i="40"/>
  <c r="Z113" i="40"/>
  <c r="V113" i="40"/>
  <c r="Z112" i="40"/>
  <c r="V112" i="40"/>
  <c r="Z111" i="40"/>
  <c r="V111" i="40"/>
  <c r="Z110" i="40"/>
  <c r="V110" i="40"/>
  <c r="Z109" i="40"/>
  <c r="V109" i="40"/>
  <c r="Z108" i="40"/>
  <c r="V108" i="40"/>
  <c r="Z107" i="40"/>
  <c r="V107" i="40"/>
  <c r="Z106" i="40"/>
  <c r="V106" i="40"/>
  <c r="Z105" i="40"/>
  <c r="V105" i="40"/>
  <c r="Z104" i="40"/>
  <c r="V104" i="40"/>
  <c r="Z103" i="40"/>
  <c r="V103" i="40"/>
  <c r="Z102" i="40"/>
  <c r="V102" i="40"/>
  <c r="Z101" i="40"/>
  <c r="V101" i="40"/>
  <c r="Z100" i="40"/>
  <c r="V100" i="40"/>
  <c r="Z99" i="40"/>
  <c r="V99" i="40"/>
  <c r="Z98" i="40"/>
  <c r="V98" i="40"/>
  <c r="Z97" i="40"/>
  <c r="V97" i="40"/>
  <c r="Z96" i="40"/>
  <c r="V96" i="40"/>
  <c r="Z95" i="40"/>
  <c r="V95" i="40"/>
  <c r="Z94" i="40"/>
  <c r="V94" i="40"/>
  <c r="Z93" i="40"/>
  <c r="V93" i="40"/>
  <c r="Z92" i="40"/>
  <c r="V92" i="40"/>
  <c r="Z91" i="40"/>
  <c r="V91" i="40"/>
  <c r="Z90" i="40"/>
  <c r="V90" i="40"/>
  <c r="Z89" i="40"/>
  <c r="V89" i="40"/>
  <c r="Z88" i="40"/>
  <c r="V88" i="40"/>
  <c r="Z87" i="40"/>
  <c r="V87" i="40"/>
  <c r="Z86" i="40"/>
  <c r="V86" i="40"/>
  <c r="Z85" i="40"/>
  <c r="V85" i="40"/>
  <c r="Z84" i="40"/>
  <c r="V84" i="40"/>
  <c r="Z83" i="40"/>
  <c r="V83" i="40"/>
  <c r="Z82" i="40"/>
  <c r="V82" i="40"/>
  <c r="Z81" i="40"/>
  <c r="V81" i="40"/>
  <c r="Z80" i="40"/>
  <c r="V80" i="40"/>
  <c r="Z79" i="40"/>
  <c r="V79" i="40"/>
  <c r="Z78" i="40"/>
  <c r="V78" i="40"/>
  <c r="Z77" i="40"/>
  <c r="V77" i="40"/>
  <c r="Z76" i="40"/>
  <c r="V76" i="40"/>
  <c r="Z75" i="40"/>
  <c r="V75" i="40"/>
  <c r="Z74" i="40"/>
  <c r="V74" i="40"/>
  <c r="Z73" i="40"/>
  <c r="V73" i="40"/>
  <c r="Z72" i="40"/>
  <c r="V72" i="40"/>
  <c r="Z71" i="40"/>
  <c r="V71" i="40"/>
  <c r="Z70" i="40"/>
  <c r="V70" i="40"/>
  <c r="Z69" i="40"/>
  <c r="V69" i="40"/>
  <c r="Z68" i="40"/>
  <c r="V68" i="40"/>
  <c r="Z67" i="40"/>
  <c r="V67" i="40"/>
  <c r="Z66" i="40"/>
  <c r="V66" i="40"/>
  <c r="Z65" i="40"/>
  <c r="V65" i="40"/>
  <c r="Z64" i="40"/>
  <c r="V64" i="40"/>
  <c r="Z63" i="40"/>
  <c r="V63" i="40"/>
  <c r="Z62" i="40"/>
  <c r="V62" i="40"/>
  <c r="Z61" i="40"/>
  <c r="V61" i="40"/>
  <c r="Z60" i="40"/>
  <c r="V60" i="40"/>
  <c r="Z59" i="40"/>
  <c r="V59" i="40"/>
  <c r="Z58" i="40"/>
  <c r="V58" i="40"/>
  <c r="Z57" i="40"/>
  <c r="V57" i="40"/>
  <c r="Z56" i="40"/>
  <c r="V56" i="40"/>
  <c r="Z55" i="40"/>
  <c r="V55" i="40"/>
  <c r="Z54" i="40"/>
  <c r="V54" i="40"/>
  <c r="Z53" i="40"/>
  <c r="V53" i="40"/>
  <c r="Z52" i="40"/>
  <c r="V52" i="40"/>
  <c r="Z51" i="40"/>
  <c r="V51" i="40"/>
  <c r="Z50" i="40"/>
  <c r="V50" i="40"/>
  <c r="Z49" i="40"/>
  <c r="V49" i="40"/>
  <c r="Z48" i="40"/>
  <c r="V48" i="40"/>
  <c r="Z47" i="40"/>
  <c r="V47" i="40"/>
  <c r="Z46" i="40"/>
  <c r="V46" i="40"/>
  <c r="Z45" i="40"/>
  <c r="V45" i="40"/>
  <c r="Z44" i="40"/>
  <c r="V44" i="40"/>
  <c r="Z43" i="40"/>
  <c r="V43" i="40"/>
  <c r="Z42" i="40"/>
  <c r="V42" i="40"/>
  <c r="Z41" i="40"/>
  <c r="V41" i="40"/>
  <c r="Z40" i="40"/>
  <c r="V40" i="40"/>
  <c r="Z39" i="40"/>
  <c r="V39" i="40"/>
  <c r="Z38" i="40"/>
  <c r="V38" i="40"/>
  <c r="Z37" i="40"/>
  <c r="V37" i="40"/>
  <c r="Z36" i="40"/>
  <c r="V36" i="40"/>
  <c r="Z35" i="40"/>
  <c r="V35" i="40"/>
  <c r="Z34" i="40"/>
  <c r="V34" i="40"/>
  <c r="Z33" i="40"/>
  <c r="V33" i="40"/>
  <c r="Z32" i="40"/>
  <c r="V32" i="40"/>
  <c r="Z31" i="40"/>
  <c r="V31" i="40"/>
  <c r="Z30" i="40"/>
  <c r="V30" i="40"/>
  <c r="Z29" i="40"/>
  <c r="V29" i="40"/>
  <c r="Z28" i="40"/>
  <c r="V28" i="40"/>
  <c r="Z27" i="40"/>
  <c r="V27" i="40"/>
  <c r="Z26" i="40"/>
  <c r="V26" i="40"/>
  <c r="Z25" i="40"/>
  <c r="V25" i="40"/>
  <c r="Z24" i="40"/>
  <c r="V24" i="40"/>
  <c r="Z23" i="40"/>
  <c r="V23" i="40"/>
  <c r="Z22" i="40"/>
  <c r="V22" i="40"/>
  <c r="Z21" i="40"/>
  <c r="V21" i="40"/>
  <c r="Z20" i="40"/>
  <c r="V20" i="40"/>
  <c r="Z19" i="40"/>
  <c r="V19" i="40"/>
  <c r="Z18" i="40"/>
  <c r="V18" i="40"/>
  <c r="Z17" i="40"/>
  <c r="V17" i="40"/>
  <c r="Z16" i="40"/>
  <c r="V16" i="40"/>
  <c r="Z15" i="40"/>
  <c r="V15" i="40"/>
  <c r="Z14" i="40"/>
  <c r="V14" i="40"/>
  <c r="Z13" i="40"/>
  <c r="V13" i="40"/>
  <c r="Z12" i="40"/>
  <c r="V12" i="40"/>
  <c r="Z11" i="40"/>
  <c r="V11" i="40"/>
  <c r="Z10" i="40"/>
  <c r="V10" i="40"/>
  <c r="Z9" i="40"/>
  <c r="V9" i="40"/>
  <c r="Z8" i="40"/>
  <c r="V8" i="40"/>
  <c r="Z7" i="40"/>
  <c r="V7" i="40"/>
  <c r="Z6" i="40"/>
  <c r="V6" i="40"/>
  <c r="AE46" i="32"/>
  <c r="AD46" i="32"/>
  <c r="AC46" i="32"/>
  <c r="AB46" i="32"/>
  <c r="AA46" i="32"/>
  <c r="Z46" i="32"/>
  <c r="AE45" i="32"/>
  <c r="AD45" i="32"/>
  <c r="AC45" i="32"/>
  <c r="AB45" i="32"/>
  <c r="AA45" i="32"/>
  <c r="Z45" i="32"/>
  <c r="AE44" i="32"/>
  <c r="AD44" i="32"/>
  <c r="AC44" i="32"/>
  <c r="AB44" i="32"/>
  <c r="AA44" i="32"/>
  <c r="Z44" i="32"/>
  <c r="AE43" i="32"/>
  <c r="AD43" i="32"/>
  <c r="AC43" i="32"/>
  <c r="AB43" i="32"/>
  <c r="AA43" i="32"/>
  <c r="Z43" i="32"/>
  <c r="AE42" i="32"/>
  <c r="AD42" i="32"/>
  <c r="AC42" i="32"/>
  <c r="AB42" i="32"/>
  <c r="AA42" i="32"/>
  <c r="Z42" i="32"/>
  <c r="AE39" i="32"/>
  <c r="AD39" i="32"/>
  <c r="AC39" i="32"/>
  <c r="AB39" i="32"/>
  <c r="AA39" i="32"/>
  <c r="Z39" i="32"/>
  <c r="AE38" i="32"/>
  <c r="AD38" i="32"/>
  <c r="AC38" i="32"/>
  <c r="AB38" i="32"/>
  <c r="AA38" i="32"/>
  <c r="Z38" i="32"/>
  <c r="AE37" i="32"/>
  <c r="AD37" i="32"/>
  <c r="AC37" i="32"/>
  <c r="AB37" i="32"/>
  <c r="AA37" i="32"/>
  <c r="Z37" i="32"/>
  <c r="AE36" i="32"/>
  <c r="AD36" i="32"/>
  <c r="AC36" i="32"/>
  <c r="AB36" i="32"/>
  <c r="AA36" i="32"/>
  <c r="Z36" i="32"/>
  <c r="AE35" i="32"/>
  <c r="AD35" i="32"/>
  <c r="AC35" i="32"/>
  <c r="AB35" i="32"/>
  <c r="AA35" i="32"/>
  <c r="Z35" i="32"/>
  <c r="AE32" i="32"/>
  <c r="AD32" i="32"/>
  <c r="AC32" i="32"/>
  <c r="AB32" i="32"/>
  <c r="AA32" i="32"/>
  <c r="Z32" i="32"/>
  <c r="AE31" i="32"/>
  <c r="AD31" i="32"/>
  <c r="AC31" i="32"/>
  <c r="AB31" i="32"/>
  <c r="AA31" i="32"/>
  <c r="Z31" i="32"/>
  <c r="AE30" i="32"/>
  <c r="AD30" i="32"/>
  <c r="AC30" i="32"/>
  <c r="AB30" i="32"/>
  <c r="AA30" i="32"/>
  <c r="Z30" i="32"/>
  <c r="AE29" i="32"/>
  <c r="AD29" i="32"/>
  <c r="AC29" i="32"/>
  <c r="AB29" i="32"/>
  <c r="AA29" i="32"/>
  <c r="Z29" i="32"/>
  <c r="AE28" i="32"/>
  <c r="AD28" i="32"/>
  <c r="AC28" i="32"/>
  <c r="AB28" i="32"/>
  <c r="AA28" i="32"/>
  <c r="Z28" i="32"/>
  <c r="AE25" i="32"/>
  <c r="AD25" i="32"/>
  <c r="AC25" i="32"/>
  <c r="AB25" i="32"/>
  <c r="AA25" i="32"/>
  <c r="Z25" i="32"/>
  <c r="AE24" i="32"/>
  <c r="AD24" i="32"/>
  <c r="AC24" i="32"/>
  <c r="AB24" i="32"/>
  <c r="AA24" i="32"/>
  <c r="Z24" i="32"/>
  <c r="AE23" i="32"/>
  <c r="AD23" i="32"/>
  <c r="AC23" i="32"/>
  <c r="AB23" i="32"/>
  <c r="AA23" i="32"/>
  <c r="Z23" i="32"/>
  <c r="AE22" i="32"/>
  <c r="AD22" i="32"/>
  <c r="AC22" i="32"/>
  <c r="AB22" i="32"/>
  <c r="AA22" i="32"/>
  <c r="Z22" i="32"/>
  <c r="AE21" i="32"/>
  <c r="AD21" i="32"/>
  <c r="AC21" i="32"/>
  <c r="AB21" i="32"/>
  <c r="AA21" i="32"/>
  <c r="Z21" i="32"/>
  <c r="AE18" i="32"/>
  <c r="AD18" i="32"/>
  <c r="AC18" i="32"/>
  <c r="AB18" i="32"/>
  <c r="AA18" i="32"/>
  <c r="Z18" i="32"/>
  <c r="AE17" i="32"/>
  <c r="AD17" i="32"/>
  <c r="AC17" i="32"/>
  <c r="AB17" i="32"/>
  <c r="AA17" i="32"/>
  <c r="Z17" i="32"/>
  <c r="AE16" i="32"/>
  <c r="AD16" i="32"/>
  <c r="AC16" i="32"/>
  <c r="AB16" i="32"/>
  <c r="AA16" i="32"/>
  <c r="Z16" i="32"/>
  <c r="AE15" i="32"/>
  <c r="AD15" i="32"/>
  <c r="AC15" i="32"/>
  <c r="AB15" i="32"/>
  <c r="AA15" i="32"/>
  <c r="Z15" i="32"/>
  <c r="AE14" i="32"/>
  <c r="AD14" i="32"/>
  <c r="AC14" i="32"/>
  <c r="AB14" i="32"/>
  <c r="AA14" i="32"/>
  <c r="Z14" i="32"/>
  <c r="AE11" i="32"/>
  <c r="AD11" i="32"/>
  <c r="AC11" i="32"/>
  <c r="AB11" i="32"/>
  <c r="AA11" i="32"/>
  <c r="Z11" i="32"/>
  <c r="AE10" i="32"/>
  <c r="AD10" i="32"/>
  <c r="AC10" i="32"/>
  <c r="AB10" i="32"/>
  <c r="AA10" i="32"/>
  <c r="Z10" i="32"/>
  <c r="AE9" i="32"/>
  <c r="AD9" i="32"/>
  <c r="AC9" i="32"/>
  <c r="AB9" i="32"/>
  <c r="AA9" i="32"/>
  <c r="Z9" i="32"/>
  <c r="AE8" i="32"/>
  <c r="AD8" i="32"/>
  <c r="AC8" i="32"/>
  <c r="AB8" i="32"/>
  <c r="AA8" i="32"/>
  <c r="Z8" i="32"/>
  <c r="AE7" i="32"/>
  <c r="AD7" i="32"/>
  <c r="AC7" i="32"/>
  <c r="AB7" i="32"/>
  <c r="AA7" i="32"/>
  <c r="Z7" i="32"/>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B3" i="26"/>
  <c r="B2" i="26"/>
  <c r="K12" i="21"/>
  <c r="J12" i="21"/>
  <c r="I12" i="21"/>
  <c r="K11" i="21"/>
  <c r="J11" i="21"/>
  <c r="I11" i="21"/>
  <c r="K10" i="21"/>
  <c r="J10" i="21"/>
  <c r="I10" i="21"/>
  <c r="F136" i="14"/>
  <c r="E136"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1" i="14"/>
  <c r="B20" i="14"/>
  <c r="B19" i="14"/>
  <c r="B18" i="14"/>
  <c r="B17" i="14"/>
  <c r="B16" i="14"/>
  <c r="B15" i="14"/>
  <c r="B14" i="14"/>
  <c r="B13" i="14"/>
  <c r="B12" i="14"/>
  <c r="B11" i="14"/>
  <c r="B10" i="14"/>
  <c r="B9" i="14"/>
  <c r="B8" i="14"/>
  <c r="B7" i="14"/>
  <c r="B6" i="14"/>
  <c r="B5" i="14"/>
  <c r="B4" i="14"/>
  <c r="B3" i="14"/>
  <c r="G6" i="4"/>
  <c r="H6" i="4" s="1"/>
  <c r="F6" i="4"/>
  <c r="I6" i="4" l="1"/>
  <c r="J6" i="4" s="1"/>
  <c r="K6" i="4" s="1"/>
  <c r="L6" i="4" s="1"/>
  <c r="M6" i="4" s="1"/>
  <c r="N6" i="4" s="1"/>
  <c r="O6" i="4" s="1"/>
  <c r="P6" i="4" s="1"/>
  <c r="Q6" i="4" s="1"/>
  <c r="R6" i="4" s="1"/>
  <c r="B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1F7BD13A-9C56-4985-A93E-D427FC484804}">
      <text>
        <r>
          <rPr>
            <b/>
            <sz val="9"/>
            <color indexed="81"/>
            <rFont val="Tahoma"/>
            <family val="2"/>
          </rPr>
          <t>ykim6: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2" authorId="0" shapeId="0" xr:uid="{A3E1149B-424A-4F6D-904C-698600A566D9}">
      <text>
        <r>
          <rPr>
            <b/>
            <sz val="9"/>
            <color indexed="81"/>
            <rFont val="Tahoma"/>
            <family val="2"/>
          </rPr>
          <t>Author:</t>
        </r>
        <r>
          <rPr>
            <sz val="9"/>
            <color indexed="81"/>
            <rFont val="Tahoma"/>
            <family val="2"/>
          </rPr>
          <t xml:space="preserve">
confirmed from desk that SS is included.</t>
        </r>
      </text>
    </comment>
  </commentList>
</comments>
</file>

<file path=xl/sharedStrings.xml><?xml version="1.0" encoding="utf-8"?>
<sst xmlns="http://schemas.openxmlformats.org/spreadsheetml/2006/main" count="9108" uniqueCount="1310">
  <si>
    <t>International Monetary Fund</t>
  </si>
  <si>
    <t>Fiscal Affairs Department</t>
  </si>
  <si>
    <t>April 2023 Fiscal Monitor "On the Path to Policy Normalization"</t>
  </si>
  <si>
    <t>Table of Contents</t>
  </si>
  <si>
    <t>Tables</t>
  </si>
  <si>
    <t>Table 1.1. General Government Overall Fiscal Balance, 2018–28</t>
  </si>
  <si>
    <t>Table 1.2. General Government Debt, 2018–28</t>
  </si>
  <si>
    <t>Table 2.1. Total Effect of Inflation on Saving Capacity by Age-Income Groups</t>
  </si>
  <si>
    <t>Figures</t>
  </si>
  <si>
    <t>Figure 1.1. Monetary and Fiscal Policy Mix</t>
  </si>
  <si>
    <t>Figure 1.2. Low Growth, Rising Rates, and High Debt</t>
  </si>
  <si>
    <t>Figure 1.3. Sovereign Spreads by Income Group</t>
  </si>
  <si>
    <t>Figure 1.4. General Government Primary Balance and Debt, 2019–27</t>
  </si>
  <si>
    <t>Figure 1.5. Projected and Actual Primary Balance for 2022</t>
  </si>
  <si>
    <t>Figure 1.6. Fiscal Impulse: Advanced Economies</t>
  </si>
  <si>
    <t>Figure 1.7. Drivers of Changes in the Fiscal Balance, 2022–23</t>
  </si>
  <si>
    <t>Figure 1.8. Impact of Exchange Rate Depreciation on Debt Change, and Potential Debt Service Suspension Initiative Savings, 2021–22</t>
  </si>
  <si>
    <t>Figure 1.9. Total Tax Collection</t>
  </si>
  <si>
    <t>Figure 1.10. Drivers of Change in General Government Debt</t>
  </si>
  <si>
    <t>Figure 1.11. Drivers of Annual Change in General Government Debt, 2021–22</t>
  </si>
  <si>
    <t>Figure 1.12. What Share of Revenue Surprises Was Saved?</t>
  </si>
  <si>
    <t>Figure 1.13. Inflation Effects on Different Types of Expenditures: Expenditure Forecast Errors</t>
  </si>
  <si>
    <t>Figure 1.14. Difference in Projected and Actual Real Public Wage Growth</t>
  </si>
  <si>
    <t>Figure 1.15. Effects of Fiscal Consolidation: High Inflation versus Low Inflation</t>
  </si>
  <si>
    <t>Figure 1.16. Number of Countries with Expenditure Rules as of 2022</t>
  </si>
  <si>
    <t>Figure 1.17. Food Prices and Food Insecurity</t>
  </si>
  <si>
    <t>Figure 1.18. Fiscal Costs of Energy Price Increases</t>
  </si>
  <si>
    <t>Figure 1.19. Impact of Energy Cost Increases for Firms and Fiscal Costs</t>
  </si>
  <si>
    <t>Figure 1.1.1. Low Growth in Tax Revenues and Its Drivers</t>
  </si>
  <si>
    <t>Figure 1.1.2. Tax Reform Waves in Emerging Market and Developing Economies</t>
  </si>
  <si>
    <t>Figure 2.1. Indexation Policies Vary across the World and across Budget Items</t>
  </si>
  <si>
    <t>Figure 2.2. Reaction to a 1 Percentage Point Growth Spike in the GDP Deflator</t>
  </si>
  <si>
    <t>Figure 2.3. Debt Reaction to Surprise versus Expected Growth Spikes in the GDP Deflator</t>
  </si>
  <si>
    <t>Figure 2.4. Estimated Initial Gains to Fiscal Balances from CPI Inflation Spikes</t>
  </si>
  <si>
    <t>Figure 2.5. Household-Specific Levels of Inflation per Quintile, 2021−22</t>
  </si>
  <si>
    <t>Figure 2.6. Income, Consumption, and Wealth Channels, 2021−22</t>
  </si>
  <si>
    <t>Figure 2.7. Wealth Effect by Age and Income Brackets, 2021−22</t>
  </si>
  <si>
    <t>Figure 2.8. Changes in Poverty from Different Types of Price Increase Shocks</t>
  </si>
  <si>
    <t>Figure 2.9. Panel Evidence of the Fiscal Policy Impact on Inflation, 1950–2019</t>
  </si>
  <si>
    <t>Figure 2.10. Fiscal Policy Impact on Inflation in the United States, 1939−2015</t>
  </si>
  <si>
    <t>Figure 2.11. Disinflating via Different Policy Tightening Options in the HANK Model</t>
  </si>
  <si>
    <t>Figure 2.1.1. Effects of Public Wage Spikes on Private Wages and Core CPI Inflation</t>
  </si>
  <si>
    <t>Figure 2.3.1. Inflation Differentials between Middle- and High-Income Families</t>
  </si>
  <si>
    <t>Figure 2.4.1. Surges in Public Expenditure, Revenue, and Debt over a Historical Span</t>
  </si>
  <si>
    <t>Figure 2.4.2. Price Level Rises with the World Wars</t>
  </si>
  <si>
    <t>Figure 2.4.3. Correlation between 2022 Changes in Fiscal Policy and in Core Inflation since 2019</t>
  </si>
  <si>
    <t>Methodological and Statistical Appendix</t>
  </si>
  <si>
    <t>Table A1. Advanced Economies: General Government Overall Balance, 2014–28
(Percent of GDP)</t>
  </si>
  <si>
    <t>Table A2. Advanced Economies: General Government Primary Balance, 2014–28
(Percent of GDP)</t>
  </si>
  <si>
    <t>Table A3. Advanced Economies: General Government Cyclically Adjusted Balance, 2014–28
(Percent of potential GDP)</t>
  </si>
  <si>
    <t>Table A4. Advanced Economies: General Government Cyclically Adjusted Primary Balance, 2014–28
(Percent of potential GDP)</t>
  </si>
  <si>
    <t>Table A5. Advanced Economies: General Government Revenue, 2014–28
(Percent of GDP)</t>
  </si>
  <si>
    <t>Table A6. Advanced Economies: General Government Expenditure, 2014–28 
(Percent of GDP)</t>
  </si>
  <si>
    <t>Table A7. Advanced Economies: General Government Gross Debt, 2014–28
(Percent of GDP)</t>
  </si>
  <si>
    <t>Table A8. Advanced Economies: General Government Net Debt, 2014–28
(Percent of GDP)</t>
  </si>
  <si>
    <t>Table A9. Emerging Market and Middle-Income Economies: General Government Overall Balance, 2014–28
(Percent of GDP)</t>
  </si>
  <si>
    <t>Table A10. Emerging Market and Middle-Income Economies: General Government Primary Balance, 2014–28
(Percent of GDP)</t>
  </si>
  <si>
    <t>Table A11. Emerging Market and Middle-Income Economies: General Government Cyclically Adjusted Balance, 2014–28
(Percent of potential GDP)</t>
  </si>
  <si>
    <t>Table A12. Emerging Market and Middle-Income Economies: General Government Cyclically Adjusted Primary Balance, 2014–28
(Percent of potential GDP)</t>
  </si>
  <si>
    <t>Table A13. Emerging Market and Middle-Income Economies: General Government Revenue, 2014–28
(Percent of GDP)</t>
  </si>
  <si>
    <t>Table A14. Emerging Market and Middle-Income Economies: General Government Expenditure, 2014–28
(Percent of GDP)</t>
  </si>
  <si>
    <t>Table A15. Emerging Market and Middle-Income Economies: General Government Gross Debt, 2014–28
(Percent of GDP)</t>
  </si>
  <si>
    <t>Table A16. Emerging Market and Middle-Income Economies: General Government Net Debt, 2014–28
(Percent of GDP)</t>
  </si>
  <si>
    <t>Table A17. Low-Income Developing Countries: General Government Overall Balance, 2014–28
(Percent of GDP)</t>
  </si>
  <si>
    <t>Table A18. Low-Income Developing Countries: General Government Primary Balance, 2014–28 
(Percent of GDP)</t>
  </si>
  <si>
    <t>Table A19. Low-Income Developing Countries: General Government Revenue, 2014–28
(Percent of GDP)</t>
  </si>
  <si>
    <t>Table A20. Low-Income Developing Countries: General Government Expenditure, 2014–28 
(Percent of GDP)</t>
  </si>
  <si>
    <t>Table A21. Low-Income Developing Countries: General Government Gross Debt, 2014–28
(Percent of GDP)</t>
  </si>
  <si>
    <t>Table A22. Low-Income Developing Countries: General Government Net Debt, 2014–28 
(Percent of GDP)</t>
  </si>
  <si>
    <t>Table A23. Advanced Economies: Structural Fiscal Indicators</t>
  </si>
  <si>
    <t>Table A24. Emerging Market and Middle-Income Economies: Structural Fiscal Indicators</t>
  </si>
  <si>
    <t>Table A25. Low-Income Developing Countries: Structural Fiscal Indicators</t>
  </si>
  <si>
    <t>Table A. Economy Groupings</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</si>
  <si>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</si>
  <si>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</si>
  <si>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</si>
  <si>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Database</t>
  </si>
  <si>
    <r>
      <t>This database includes the tables, charts, and underlying data from the April 2023 IMF Fiscal Monitor. When using the data, please refer to the IMF,</t>
    </r>
    <r>
      <rPr>
        <i/>
        <sz val="11"/>
        <rFont val="Times New Roman"/>
        <family val="1"/>
      </rPr>
      <t xml:space="preserve"> Fiscal Monitor, April 2023</t>
    </r>
    <r>
      <rPr>
        <sz val="11"/>
        <rFont val="Times New Roman"/>
        <family val="1"/>
      </rPr>
      <t xml:space="preserve">. </t>
    </r>
  </si>
  <si>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</si>
  <si>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</si>
  <si>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</si>
  <si>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(Percent of GDP)</t>
  </si>
  <si>
    <t>Projections</t>
  </si>
  <si>
    <t>World</t>
  </si>
  <si>
    <t>Advanced Economies</t>
  </si>
  <si>
    <t>Advanced economies</t>
  </si>
  <si>
    <t>Advanced G-20</t>
  </si>
  <si>
    <t>Canada</t>
  </si>
  <si>
    <t>Euro Area</t>
  </si>
  <si>
    <t>Euro area</t>
  </si>
  <si>
    <t>France</t>
  </si>
  <si>
    <t>Germany</t>
  </si>
  <si>
    <t>Italy</t>
  </si>
  <si>
    <r>
      <t>Spain</t>
    </r>
    <r>
      <rPr>
        <vertAlign val="superscript"/>
        <sz val="9"/>
        <rFont val="Arial"/>
        <family val="2"/>
      </rPr>
      <t>1</t>
    </r>
  </si>
  <si>
    <t>Spain</t>
  </si>
  <si>
    <t xml:space="preserve">Japan </t>
  </si>
  <si>
    <t>Japan</t>
  </si>
  <si>
    <t>United Kingdom</t>
  </si>
  <si>
    <r>
      <t>United States</t>
    </r>
    <r>
      <rPr>
        <vertAlign val="superscript"/>
        <sz val="9"/>
        <rFont val="Arial"/>
        <family val="2"/>
      </rPr>
      <t>2</t>
    </r>
  </si>
  <si>
    <t>United States</t>
  </si>
  <si>
    <t>Other Advanced Economies</t>
  </si>
  <si>
    <t>Other Advanced (excl. Euro Area, Canada, Japan, US, and UK)</t>
  </si>
  <si>
    <t>Emerging Market and Developing Economies</t>
  </si>
  <si>
    <t>Emerging G-20</t>
  </si>
  <si>
    <t>Emerging Markets excl. China</t>
  </si>
  <si>
    <t>EME exc. China</t>
  </si>
  <si>
    <t>Excluding MENA Oil Producers</t>
  </si>
  <si>
    <t>EME exc MENA oil producers</t>
  </si>
  <si>
    <t>Asia</t>
  </si>
  <si>
    <t>Emerging and Middle-Income Asia</t>
  </si>
  <si>
    <r>
      <t>China</t>
    </r>
    <r>
      <rPr>
        <vertAlign val="superscript"/>
        <sz val="9"/>
        <rFont val="Arial"/>
        <family val="2"/>
      </rPr>
      <t>3</t>
    </r>
  </si>
  <si>
    <t>China</t>
  </si>
  <si>
    <t>India</t>
  </si>
  <si>
    <t>Europe</t>
  </si>
  <si>
    <t>Emerging and Middle-Income Europe</t>
  </si>
  <si>
    <t>Russian Federation</t>
  </si>
  <si>
    <t>Russia</t>
  </si>
  <si>
    <t>Latin America</t>
  </si>
  <si>
    <t>Emerging and Middle-Income Latin America</t>
  </si>
  <si>
    <t>Brazil</t>
  </si>
  <si>
    <t>Mexico</t>
  </si>
  <si>
    <t>MENA</t>
  </si>
  <si>
    <t>Emerging and Middle-Income Middle East and North Africa</t>
  </si>
  <si>
    <t>Saudi Arabia</t>
  </si>
  <si>
    <t>South Africa</t>
  </si>
  <si>
    <t>Low-Income Developing Countries</t>
  </si>
  <si>
    <t>Kenya</t>
  </si>
  <si>
    <t>Nigeria</t>
  </si>
  <si>
    <t>Vietnam</t>
  </si>
  <si>
    <t>Oil Producers</t>
  </si>
  <si>
    <t>Memorandum</t>
  </si>
  <si>
    <t>World Output (percent)</t>
  </si>
  <si>
    <t>Source: IMF staff estimates and projections.</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</si>
  <si>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2022 data are still preliminary. For country-specific details, see "Data and Conventions" and Tables A, B, C, and D in the Methodological and Statistical Appendix. MENA = Middle East and North Africa.</t>
  </si>
  <si>
    <r>
      <rPr>
        <vertAlign val="superscript"/>
        <sz val="8"/>
        <rFont val="Arial"/>
        <family val="2"/>
      </rPr>
      <t>1</t>
    </r>
    <r>
      <rPr>
        <sz val="8"/>
        <rFont val="Arial"/>
        <family val="2"/>
      </rPr>
      <t xml:space="preserve"> Including financial sector support.</t>
    </r>
  </si>
  <si>
    <r>
      <rPr>
        <vertAlign val="superscript"/>
        <sz val="8"/>
        <rFont val="Arial"/>
        <family val="2"/>
      </rPr>
      <t xml:space="preserve">2 </t>
    </r>
    <r>
      <rPr>
        <sz val="8"/>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</si>
  <si>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rPr>
        <vertAlign val="superscript"/>
        <sz val="8"/>
        <color theme="1"/>
        <rFont val="Arial"/>
        <family val="2"/>
      </rPr>
      <t xml:space="preserve">3 </t>
    </r>
    <r>
      <rPr>
        <sz val="8"/>
        <color theme="1"/>
        <rFont val="Arial"/>
        <family val="2"/>
      </rPr>
      <t xml:space="preserve">China’s deficit and public debt numbers presented in this table cover a narrower perimeter of the general government than IMF staff’s estimates in China Article IV reports (see </t>
    </r>
    <r>
      <rPr>
        <u/>
        <sz val="8"/>
        <color theme="4"/>
        <rFont val="Arial"/>
        <family val="2"/>
      </rPr>
      <t>IMF 2023</t>
    </r>
    <r>
      <rPr>
        <sz val="8"/>
        <color theme="1"/>
        <rFont val="Arial"/>
        <family val="2"/>
      </rPr>
      <t xml:space="preserve"> for a reconciliation of the two estimates). </t>
    </r>
  </si>
  <si>
    <t>Gross Debt</t>
  </si>
  <si>
    <r>
      <t>World</t>
    </r>
    <r>
      <rPr>
        <b/>
        <vertAlign val="superscript"/>
        <sz val="9"/>
        <rFont val="Arial"/>
        <family val="2"/>
      </rPr>
      <t>1</t>
    </r>
  </si>
  <si>
    <t>...</t>
  </si>
  <si>
    <r>
      <t>Canada</t>
    </r>
    <r>
      <rPr>
        <vertAlign val="superscript"/>
        <sz val="9"/>
        <rFont val="Arial"/>
        <family val="2"/>
      </rPr>
      <t>2</t>
    </r>
  </si>
  <si>
    <t>Emerging Market Economies excl. China</t>
  </si>
  <si>
    <r>
      <t>Brazil</t>
    </r>
    <r>
      <rPr>
        <vertAlign val="superscript"/>
        <sz val="9"/>
        <rFont val="Arial"/>
        <family val="2"/>
      </rPr>
      <t>4</t>
    </r>
  </si>
  <si>
    <t>MENA Region</t>
  </si>
  <si>
    <r>
      <t>Net Debt</t>
    </r>
    <r>
      <rPr>
        <sz val="9"/>
        <rFont val="Arial"/>
        <family val="2"/>
      </rPr>
      <t/>
    </r>
  </si>
  <si>
    <t>…</t>
  </si>
  <si>
    <t>Notes: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2022 data are still preliminary. For country-specific details, see "Data and Conventions" and Tables A, B, C, and D in the Methodological and Statistical Appendix. MENA = Middle East and North Africa.</t>
  </si>
  <si>
    <r>
      <rPr>
        <vertAlign val="superscript"/>
        <sz val="8"/>
        <rFont val="Arial"/>
        <family val="2"/>
      </rPr>
      <t>1</t>
    </r>
    <r>
      <rPr>
        <sz val="8"/>
        <rFont val="Arial"/>
        <family val="2"/>
      </rPr>
      <t xml:space="preserve"> Gross and net debt averages do not include the debt incurred by the European Union, and used to finance the grants portion of the Next Generation EU (NGEU) package. This totaled €58 billion (0.4 percent of European Union GDP) as of December 31, 2021, and €158 billion (1 percent of European Union GDP) as of February 16, 2023. Debt incurred by the EU and used to on-lend to member states is included within member state debt data and regional aggregates.</t>
    </r>
  </si>
  <si>
    <r>
      <rPr>
        <vertAlign val="superscript"/>
        <sz val="8"/>
        <rFont val="Arial"/>
        <family val="2"/>
      </rPr>
      <t>2</t>
    </r>
    <r>
      <rPr>
        <sz val="8"/>
        <rFont val="Arial"/>
        <family val="2"/>
      </rPr>
      <t xml:space="preserve"> For cross-economy comparability, gross and net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</si>
  <si>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8"/>
        <color theme="1"/>
        <rFont val="Arial"/>
        <family val="2"/>
      </rPr>
      <t>4</t>
    </r>
    <r>
      <rPr>
        <sz val="8"/>
        <color theme="1"/>
        <rFont val="Arial"/>
        <family val="2"/>
      </rPr>
      <t xml:space="preserve"> Gross debt refers to the nonfinancial public sector, excluding Eletrobras and Petrobras, and includes sovereign debt held on the balance sheet of the central bank.
</t>
    </r>
  </si>
  <si>
    <t>Monetary and fiscal loosening</t>
  </si>
  <si>
    <t>Monetary tightening and fiscal loosening</t>
  </si>
  <si>
    <t>Monetary loosening and fiscal tightening</t>
  </si>
  <si>
    <t>Monetary and fiscal tightening</t>
  </si>
  <si>
    <t>(Percentage of economies)</t>
  </si>
  <si>
    <t>Description</t>
  </si>
  <si>
    <t>Country</t>
  </si>
  <si>
    <t>Global</t>
  </si>
  <si>
    <t>General government gross debt, percent of Fiscal year GDP</t>
  </si>
  <si>
    <t>08</t>
  </si>
  <si>
    <t>09</t>
  </si>
  <si>
    <t>10</t>
  </si>
  <si>
    <t>11</t>
  </si>
  <si>
    <t>12</t>
  </si>
  <si>
    <t>13</t>
  </si>
  <si>
    <t>14</t>
  </si>
  <si>
    <t>15</t>
  </si>
  <si>
    <t>16</t>
  </si>
  <si>
    <t>17</t>
  </si>
  <si>
    <t>18</t>
  </si>
  <si>
    <t>19</t>
  </si>
  <si>
    <t>20</t>
  </si>
  <si>
    <t>21</t>
  </si>
  <si>
    <t>22</t>
  </si>
  <si>
    <t>23</t>
  </si>
  <si>
    <t>24</t>
  </si>
  <si>
    <t>25</t>
  </si>
  <si>
    <t>26</t>
  </si>
  <si>
    <t>27</t>
  </si>
  <si>
    <t>28</t>
  </si>
  <si>
    <t>Emerging Market Economies</t>
  </si>
  <si>
    <t>Advanced</t>
  </si>
  <si>
    <t>Emerging</t>
  </si>
  <si>
    <t>LIDC</t>
  </si>
  <si>
    <t>Emerging market economies, excluding China</t>
  </si>
  <si>
    <t>Low-income developing countries</t>
  </si>
  <si>
    <t>2. Median Interest Payments as a Percentage of Taxes</t>
  </si>
  <si>
    <t>3. Global Debt Levels</t>
  </si>
  <si>
    <t>1. Growth</t>
  </si>
  <si>
    <t>Weighted Average Spread</t>
  </si>
  <si>
    <t>Full Sample</t>
  </si>
  <si>
    <t>Advanced Economies (RHS)</t>
  </si>
  <si>
    <t>Emerging and Developing Economies</t>
  </si>
  <si>
    <t>ym</t>
  </si>
  <si>
    <t>combined_spread</t>
  </si>
  <si>
    <t>(Basis points)</t>
  </si>
  <si>
    <t>Average</t>
  </si>
  <si>
    <t>AE PB</t>
  </si>
  <si>
    <t>AE Debt</t>
  </si>
  <si>
    <t>EM PB</t>
  </si>
  <si>
    <t>EM Debt</t>
  </si>
  <si>
    <t>EM (excl CHN) PB</t>
  </si>
  <si>
    <t>EM (excl CHN) Debt</t>
  </si>
  <si>
    <t>LIDC PB</t>
  </si>
  <si>
    <t>LIDC Debt</t>
  </si>
  <si>
    <t>Projected as of January 2022</t>
  </si>
  <si>
    <t>April 2023</t>
  </si>
  <si>
    <t>MEX</t>
  </si>
  <si>
    <t>KOR</t>
  </si>
  <si>
    <t>BRA</t>
  </si>
  <si>
    <t>ITA</t>
  </si>
  <si>
    <t xml:space="preserve">Figure 1.5. Projected and Actual Primary Balance for 2022 </t>
  </si>
  <si>
    <t>ZAF</t>
  </si>
  <si>
    <t>CAN</t>
  </si>
  <si>
    <t>GBR</t>
  </si>
  <si>
    <t>USA</t>
  </si>
  <si>
    <t>FRA</t>
  </si>
  <si>
    <t>AUS</t>
  </si>
  <si>
    <t>IND</t>
  </si>
  <si>
    <t>JPN</t>
  </si>
  <si>
    <t>AE average</t>
  </si>
  <si>
    <t>UK</t>
  </si>
  <si>
    <t>US</t>
  </si>
  <si>
    <t>EA</t>
  </si>
  <si>
    <t xml:space="preserve">Figure 1.6. Fiscal Impulse: Advanced Economies </t>
  </si>
  <si>
    <t>(Percentage points)</t>
  </si>
  <si>
    <t>Revenue</t>
  </si>
  <si>
    <t>Interest expense</t>
  </si>
  <si>
    <t>Primary expenditure</t>
  </si>
  <si>
    <t>Fiscal balance</t>
  </si>
  <si>
    <t>Commodity exporters</t>
  </si>
  <si>
    <t>.</t>
  </si>
  <si>
    <t>Others</t>
  </si>
  <si>
    <t xml:space="preserve">Figure 1.7. Drivers of Changes in the Fiscal Balance, 2022–23 </t>
  </si>
  <si>
    <t>country</t>
  </si>
  <si>
    <t>Contribution of exchange rate depreciation to debt increase</t>
  </si>
  <si>
    <t>Potential DSSI savings</t>
  </si>
  <si>
    <t>Senegal</t>
  </si>
  <si>
    <t>Guinea-Bissau</t>
  </si>
  <si>
    <t>Côte d'Ivoire</t>
  </si>
  <si>
    <t>Mali</t>
  </si>
  <si>
    <t>Chad</t>
  </si>
  <si>
    <t>Nepal</t>
  </si>
  <si>
    <t>Uganda</t>
  </si>
  <si>
    <t>weo_GGRT_GDP</t>
  </si>
  <si>
    <t>year</t>
  </si>
  <si>
    <t>group</t>
  </si>
  <si>
    <t>AEs</t>
  </si>
  <si>
    <t xml:space="preserve">Figure 1.9. Total Tax Collection </t>
  </si>
  <si>
    <t>EMs</t>
  </si>
  <si>
    <t>LICs</t>
  </si>
  <si>
    <t>difference with EMs</t>
  </si>
  <si>
    <t>difference with Aes</t>
  </si>
  <si>
    <t>debt_ch</t>
  </si>
  <si>
    <t>pb_gdp</t>
  </si>
  <si>
    <t>neir_debt</t>
  </si>
  <si>
    <t>infl_debt</t>
  </si>
  <si>
    <t>rgdp_debt</t>
  </si>
  <si>
    <t>stockflow_debt_basic</t>
  </si>
  <si>
    <t>Change in debt-to-GDP</t>
  </si>
  <si>
    <t>Primary deficit</t>
  </si>
  <si>
    <t>Nominal interest rate</t>
  </si>
  <si>
    <t>Inflation</t>
  </si>
  <si>
    <t>Real GDP</t>
  </si>
  <si>
    <t>Stock-flow adjustment</t>
  </si>
  <si>
    <t>Emerging market economies excl. China</t>
  </si>
  <si>
    <t>iso</t>
  </si>
  <si>
    <t>forex_debt</t>
  </si>
  <si>
    <t>stockflow_debt_fx</t>
  </si>
  <si>
    <t>Nominal exchange rate</t>
  </si>
  <si>
    <t>CHN</t>
  </si>
  <si>
    <t>SEN</t>
  </si>
  <si>
    <t>CHL</t>
  </si>
  <si>
    <t>TUR</t>
  </si>
  <si>
    <t>GRC</t>
  </si>
  <si>
    <t>iso3code</t>
  </si>
  <si>
    <t xml:space="preserve">Revenue surprise </t>
  </si>
  <si>
    <t>Expenditure surprise</t>
  </si>
  <si>
    <t>2022 inflation (RHS)</t>
  </si>
  <si>
    <t>Australia</t>
  </si>
  <si>
    <t>SAU</t>
  </si>
  <si>
    <t>Indonesia</t>
  </si>
  <si>
    <t>IDN</t>
  </si>
  <si>
    <t>Korea</t>
  </si>
  <si>
    <t>DEU</t>
  </si>
  <si>
    <t xml:space="preserve">Figure 1.12. What Share of Revenue Surprises Was Saved? </t>
  </si>
  <si>
    <t>(Percent of 2022 GDP)</t>
  </si>
  <si>
    <t>1. Selected Advanced Economies</t>
  </si>
  <si>
    <t>2. Selected Emerging Market Economies</t>
  </si>
  <si>
    <t>Social benefits</t>
  </si>
  <si>
    <t>Compensation of employees</t>
  </si>
  <si>
    <t>Goods and services</t>
  </si>
  <si>
    <t>Not elsewhere specified</t>
  </si>
  <si>
    <t>Overall non-interest expenses</t>
  </si>
  <si>
    <t xml:space="preserve">Figure 1.13. Inflation Effects on Different Types of Expenditures: Expenditure Forecast Errors </t>
  </si>
  <si>
    <t>Emerging market economies</t>
  </si>
  <si>
    <t xml:space="preserve">Figure 1.14. Difference in Projected and Actual Real Public Wage Growth </t>
  </si>
  <si>
    <t>Low inflation (25%)</t>
  </si>
  <si>
    <t>High inflation (75%)</t>
  </si>
  <si>
    <t>b_Wggcbp_gdp_p25</t>
  </si>
  <si>
    <t>lo_Wggcbp_gdp_p25</t>
  </si>
  <si>
    <t>b_Wggcbp_gdp_p75</t>
  </si>
  <si>
    <t>lo_Wggcbp_gdp_p75</t>
  </si>
  <si>
    <t>lo_dif</t>
  </si>
  <si>
    <t>hi_dif</t>
  </si>
  <si>
    <t>b_ggxwdg_gdp_p25</t>
  </si>
  <si>
    <t>up_ggxwdg_gdp_p25</t>
  </si>
  <si>
    <t>lo_ggxwdg_gdp_p25</t>
  </si>
  <si>
    <t>b_ggxwdg_gdp_p75</t>
  </si>
  <si>
    <t>up_ggxwdg_gdp_p75</t>
  </si>
  <si>
    <t>lo_ggxwdg_gdp_p75</t>
  </si>
  <si>
    <t>2. Effect on Public Debt</t>
  </si>
  <si>
    <t>1. Effect on Cyclically Adjusted Primary Balance</t>
  </si>
  <si>
    <t>National rules</t>
  </si>
  <si>
    <t>Low-income and developing countries</t>
  </si>
  <si>
    <t>Countries with National Expenditure Rules</t>
  </si>
  <si>
    <t>Real</t>
  </si>
  <si>
    <t>Nominal</t>
  </si>
  <si>
    <t>Other</t>
  </si>
  <si>
    <t>No. rules</t>
  </si>
  <si>
    <t>%</t>
  </si>
  <si>
    <t>AE</t>
  </si>
  <si>
    <t>EM</t>
  </si>
  <si>
    <t>LIC</t>
  </si>
  <si>
    <t>imf_group</t>
  </si>
  <si>
    <t>date</t>
  </si>
  <si>
    <t>fcpim_LIDC</t>
  </si>
  <si>
    <t>fcpim_EM</t>
  </si>
  <si>
    <t>fcpim_AE</t>
  </si>
  <si>
    <t>LIDCs</t>
  </si>
  <si>
    <t>Jan-2017</t>
  </si>
  <si>
    <t>EMEs</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</si>
  <si>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</si>
  <si>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</si>
  <si>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</si>
  <si>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</si>
  <si>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</si>
  <si>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</si>
  <si>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</si>
  <si>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</si>
  <si>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</si>
  <si>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</si>
  <si>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</si>
  <si>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</si>
  <si>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</si>
  <si>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</si>
  <si>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</si>
  <si>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</si>
  <si>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</si>
  <si>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</si>
  <si>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</si>
  <si>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</si>
  <si>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</si>
  <si>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</si>
  <si>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</si>
  <si>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</si>
  <si>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</si>
  <si>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</si>
  <si>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</si>
  <si>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</si>
  <si>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</si>
  <si>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</si>
  <si>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</si>
  <si>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</si>
  <si>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</si>
  <si>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</si>
  <si>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</si>
  <si>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</si>
  <si>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</si>
  <si>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</si>
  <si>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</si>
  <si>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</si>
  <si>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</si>
  <si>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</si>
  <si>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</si>
  <si>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</si>
  <si>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</si>
  <si>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</si>
  <si>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</si>
  <si>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Jan-21</t>
  </si>
  <si>
    <t>Feb-21</t>
  </si>
  <si>
    <t>Mar-21</t>
  </si>
  <si>
    <t>Apr-21</t>
  </si>
  <si>
    <t>May-21</t>
  </si>
  <si>
    <t>Jun-21</t>
  </si>
  <si>
    <t>Jul-21</t>
  </si>
  <si>
    <t>Aug-21</t>
  </si>
  <si>
    <t>Sep-21</t>
  </si>
  <si>
    <t>Oct-21</t>
  </si>
  <si>
    <t>Nov-21</t>
  </si>
  <si>
    <t>Dec-21</t>
  </si>
  <si>
    <t>Jan-22</t>
  </si>
  <si>
    <t>Feb-22</t>
  </si>
  <si>
    <t>Mar-22</t>
  </si>
  <si>
    <t>Apr-22</t>
  </si>
  <si>
    <t>May-22</t>
  </si>
  <si>
    <t>Jun-22</t>
  </si>
  <si>
    <t>Jul-22</t>
  </si>
  <si>
    <t>Aug-22</t>
  </si>
  <si>
    <t>Sep-22</t>
  </si>
  <si>
    <t>Oct-22</t>
  </si>
  <si>
    <t>Nov-22</t>
  </si>
  <si>
    <t>Dec-22</t>
  </si>
  <si>
    <t>Before the Government Support</t>
  </si>
  <si>
    <t>After the Government Support</t>
  </si>
  <si>
    <t xml:space="preserve">20th Percentile </t>
  </si>
  <si>
    <t xml:space="preserve">80th Percentile </t>
  </si>
  <si>
    <t>Median Fiscal Cost</t>
  </si>
  <si>
    <t>Median Number of Measures Announced</t>
  </si>
  <si>
    <t>Government</t>
  </si>
  <si>
    <t xml:space="preserve">   AEs       </t>
  </si>
  <si>
    <t>Both</t>
  </si>
  <si>
    <t>Households</t>
  </si>
  <si>
    <t>Energy</t>
  </si>
  <si>
    <t>Businesses</t>
  </si>
  <si>
    <t>Food</t>
  </si>
  <si>
    <t xml:space="preserve">    EMEs       </t>
  </si>
  <si>
    <t xml:space="preserve">  LIDCs</t>
  </si>
  <si>
    <t>Residential</t>
  </si>
  <si>
    <t>Proportion of employment at risk</t>
  </si>
  <si>
    <t xml:space="preserve">Proportion of enterprises at risk </t>
  </si>
  <si>
    <t>Cyprus</t>
  </si>
  <si>
    <t>Sweden</t>
  </si>
  <si>
    <t>Estonia</t>
  </si>
  <si>
    <t>1. Annual Change in Electricity Prices for Residential and Nonresidential Consumers, 2022</t>
  </si>
  <si>
    <t>Greece</t>
  </si>
  <si>
    <t>Poland</t>
  </si>
  <si>
    <t>Bulgaria</t>
  </si>
  <si>
    <t>2. Fiscal Costs of Support to Firms and Sectoral Exposures to the Energy Price Shock</t>
  </si>
  <si>
    <t>Ireland</t>
  </si>
  <si>
    <t>Croatia</t>
  </si>
  <si>
    <t>Norway</t>
  </si>
  <si>
    <t>Slovenia</t>
  </si>
  <si>
    <t>Lithuania</t>
  </si>
  <si>
    <t>Slovakia</t>
  </si>
  <si>
    <t>Serbia</t>
  </si>
  <si>
    <t xml:space="preserve">Germany </t>
  </si>
  <si>
    <t>Malta</t>
  </si>
  <si>
    <t>Bosnia and Herzegovina</t>
  </si>
  <si>
    <t>Austria</t>
  </si>
  <si>
    <t>Luxembourg</t>
  </si>
  <si>
    <t>The Netherlands</t>
  </si>
  <si>
    <t>Latvia</t>
  </si>
  <si>
    <t>Portugal</t>
  </si>
  <si>
    <t>Belgium</t>
  </si>
  <si>
    <t>Romania</t>
  </si>
  <si>
    <t>North Macedonia</t>
  </si>
  <si>
    <t>Czechia</t>
  </si>
  <si>
    <t>Netherlands</t>
  </si>
  <si>
    <t>Slovak Republic</t>
  </si>
  <si>
    <t>Hungary</t>
  </si>
  <si>
    <t>Denmark</t>
  </si>
  <si>
    <t>grid_point</t>
  </si>
  <si>
    <t>Mean growth, 1997–2007</t>
  </si>
  <si>
    <t>Mean growth, 2008–2018</t>
  </si>
  <si>
    <t>tax</t>
  </si>
  <si>
    <t>label</t>
  </si>
  <si>
    <t>Mean 1997-2007</t>
  </si>
  <si>
    <t>Mean 2008-2018</t>
  </si>
  <si>
    <t>pct_tax_gdp</t>
  </si>
  <si>
    <t>Total taxes</t>
  </si>
  <si>
    <t>pct_1200_gdp</t>
  </si>
  <si>
    <t>CIT</t>
  </si>
  <si>
    <t>pct_5000_gdp</t>
  </si>
  <si>
    <t>Indirect taxes</t>
  </si>
  <si>
    <t>pct_4000_gdp</t>
  </si>
  <si>
    <t>Property and wealth taxes</t>
  </si>
  <si>
    <t>1. Slowdown in Mean Tax-to-GDP Growth</t>
  </si>
  <si>
    <t>pct_1100_gdp</t>
  </si>
  <si>
    <t>PIT</t>
  </si>
  <si>
    <t>2. Tax Base Components of Slowdown</t>
  </si>
  <si>
    <t>pct_2000_gdp</t>
  </si>
  <si>
    <t>Social contributions</t>
  </si>
  <si>
    <t>Countries with value-added tax</t>
  </si>
  <si>
    <t>Countries with large taxpayer units</t>
  </si>
  <si>
    <t>Countries with e-filing</t>
  </si>
  <si>
    <t>Figure 1.1.2. Tax Reform Waves in Emerging 
Market and Developing Economies</t>
  </si>
  <si>
    <t>(Percent of household income)</t>
  </si>
  <si>
    <t>Age</t>
  </si>
  <si>
    <t>Spain (Cardoso and others 2022)</t>
  </si>
  <si>
    <t>Colombia</t>
  </si>
  <si>
    <t>Finland</t>
  </si>
  <si>
    <t>Income quartile</t>
  </si>
  <si>
    <t>Income quintile</t>
  </si>
  <si>
    <t>Poorest</t>
  </si>
  <si>
    <t xml:space="preserve">Second </t>
  </si>
  <si>
    <t>Third</t>
  </si>
  <si>
    <t>Richest</t>
  </si>
  <si>
    <t>Fourth</t>
  </si>
  <si>
    <t>&lt;36</t>
  </si>
  <si>
    <t>36-45</t>
  </si>
  <si>
    <t>46-55</t>
  </si>
  <si>
    <t>56-65</t>
  </si>
  <si>
    <t>&gt;65</t>
  </si>
  <si>
    <t>Sources: Cardoso and others (2022) for Spain and IMF staff calculations for Colombia, Finland, and France.</t>
  </si>
  <si>
    <t>Note: Age brackets are based on the age of the head of household. See Online Annex 2.3 for details.</t>
  </si>
  <si>
    <t>Figure 2.1. Indexation Policies Vary Across the World and Across Budget Items</t>
  </si>
  <si>
    <t xml:space="preserve">(Percentage of countries in each income group) </t>
  </si>
  <si>
    <r>
      <t>1. Personal Income Tax Brackets' Indexation</t>
    </r>
    <r>
      <rPr>
        <b/>
        <vertAlign val="superscript"/>
        <sz val="10"/>
        <color theme="1"/>
        <rFont val="Arial"/>
        <family val="2"/>
      </rPr>
      <t>1</t>
    </r>
  </si>
  <si>
    <t>Automatic price adjustments</t>
  </si>
  <si>
    <t>Regular de facto adjustments</t>
  </si>
  <si>
    <t>No regular adjustments</t>
  </si>
  <si>
    <r>
      <t>2. Pension Indexation</t>
    </r>
    <r>
      <rPr>
        <b/>
        <vertAlign val="superscript"/>
        <sz val="10"/>
        <color theme="1"/>
        <rFont val="Segoe UI"/>
        <family val="2"/>
      </rPr>
      <t>2</t>
    </r>
  </si>
  <si>
    <t>Price</t>
  </si>
  <si>
    <t>Wage</t>
  </si>
  <si>
    <t>Mixed</t>
  </si>
  <si>
    <t>No</t>
  </si>
  <si>
    <r>
      <t>3. Social Assistance Program Indexation</t>
    </r>
    <r>
      <rPr>
        <b/>
        <vertAlign val="superscript"/>
        <sz val="10"/>
        <color theme="1"/>
        <rFont val="Arial"/>
        <family val="2"/>
      </rPr>
      <t>3</t>
    </r>
  </si>
  <si>
    <t>Yes, to inflation</t>
  </si>
  <si>
    <t>Yes, to other variables</t>
  </si>
  <si>
    <r>
      <t>4. Public Wages Indexation</t>
    </r>
    <r>
      <rPr>
        <b/>
        <vertAlign val="superscript"/>
        <sz val="10"/>
        <color theme="1"/>
        <rFont val="Arial"/>
        <family val="2"/>
      </rPr>
      <t>4</t>
    </r>
  </si>
  <si>
    <t xml:space="preserve">(Percent of GDP) </t>
  </si>
  <si>
    <t>1. Debt</t>
  </si>
  <si>
    <t>Year</t>
  </si>
  <si>
    <t>Debt/GDP &gt; 50 percent</t>
  </si>
  <si>
    <t>Debt/GDP &gt; 50 percent, band, upper</t>
  </si>
  <si>
    <t>Debt/GDP &gt; 50 percent, band, lower</t>
  </si>
  <si>
    <t>Debt/GDP &lt;= 50 percent</t>
  </si>
  <si>
    <t>Debt/GDP &lt;= 50 percent, band, upper</t>
  </si>
  <si>
    <t>Debt/GDP &lt;= 50 percent, band, lower</t>
  </si>
  <si>
    <t>2. Overall balance</t>
  </si>
  <si>
    <t>All countries in the sample</t>
  </si>
  <si>
    <t>All countries in the sample, band, upper</t>
  </si>
  <si>
    <t>All countries in the sample, band, lower</t>
  </si>
  <si>
    <t xml:space="preserve">Figure 2.3. Debt Reaction to Surprise versus Expected Growth Spikes in the GDP Deflator </t>
  </si>
  <si>
    <t>1. Surprise</t>
  </si>
  <si>
    <t>2. Expected</t>
  </si>
  <si>
    <t>(Percent of GDP, unless stated otherwise)</t>
  </si>
  <si>
    <t>Quarter</t>
  </si>
  <si>
    <t>Base</t>
  </si>
  <si>
    <t>Upper</t>
  </si>
  <si>
    <t>Lower</t>
  </si>
  <si>
    <t>Figure 2.5. Household-Specific Levels of Inflation per Quintile in 2021-22</t>
  </si>
  <si>
    <t>(Percent)</t>
  </si>
  <si>
    <t>Quintile</t>
  </si>
  <si>
    <t>Food and nonalcoholic beverages</t>
  </si>
  <si>
    <t>Housing, water, electricity, gas and other fuels</t>
  </si>
  <si>
    <t>Transport</t>
  </si>
  <si>
    <t xml:space="preserve">Other consumption categories </t>
  </si>
  <si>
    <t xml:space="preserve">Total </t>
  </si>
  <si>
    <t xml:space="preserve">Annual inflation </t>
  </si>
  <si>
    <t>Figure 2.6. Income, Consumption, and Wealth Channels in 2021−22</t>
  </si>
  <si>
    <t>Income</t>
  </si>
  <si>
    <t>Consumption</t>
  </si>
  <si>
    <t>Total</t>
  </si>
  <si>
    <t>1. Kenya</t>
  </si>
  <si>
    <t>2. Mexico</t>
  </si>
  <si>
    <t>3. Senegal</t>
  </si>
  <si>
    <t>Wealth</t>
  </si>
  <si>
    <t>4. Colombia</t>
  </si>
  <si>
    <t>5. Finland</t>
  </si>
  <si>
    <t>6. France</t>
  </si>
  <si>
    <t>Source: IMF staff calculations, as described in Online Annex 2.3.</t>
  </si>
  <si>
    <t>Note: The figure covers the period from the second quarter of 2021 to the second quarter of 2022. For Colombia, results are</t>
  </si>
  <si>
    <t>based on the financial inclusion module of the Great Integrated Household Survey (GEIH) to include the wealth effect.</t>
  </si>
  <si>
    <t>Results for income and consumption basket channels using a representative survey are similar.</t>
  </si>
  <si>
    <t>Figure 2.7. Wealth Effect by Age and Income Brackets in 2021−22</t>
  </si>
  <si>
    <t>p20–p40</t>
  </si>
  <si>
    <t>p40–p60</t>
  </si>
  <si>
    <t xml:space="preserve">p60–p80 </t>
  </si>
  <si>
    <t>Note: The figure covers the period from the second quarter of 2021 to the second quarter of 2022. Each line in the panels</t>
  </si>
  <si>
    <t>corresponds to the income brackets. The wealth effect differs, on average, across generations: young people are net</t>
  </si>
  <si>
    <t>borrowers, whereas elderly people tend to be net lenders. Therefore, the wealth effect is usually positive for young people</t>
  </si>
  <si>
    <t>and negative for older households. p = percentile.</t>
  </si>
  <si>
    <t>Figure 2.8. Changes in Poverty due to Different Types of Price Increase Shocks</t>
  </si>
  <si>
    <t xml:space="preserve">Baseline inflation </t>
  </si>
  <si>
    <t xml:space="preserve">Average inflation </t>
  </si>
  <si>
    <t>5 percent higher food prices</t>
  </si>
  <si>
    <t>5 percent higher fuel prices</t>
  </si>
  <si>
    <t>Source: IMF staff calculations.</t>
  </si>
  <si>
    <t>Note: Baseline inflation refers to household inflation calculated based on observed</t>
  </si>
  <si>
    <t>inflation from the first quarter of 2021 to the second quarter of 2022. Results can</t>
  </si>
  <si>
    <t>be considered as a ceiling because the estimation does not take into account new</t>
  </si>
  <si>
    <t>measures taken by the government or households to respond to the effects of inflation.</t>
  </si>
  <si>
    <t>1. Output</t>
  </si>
  <si>
    <t>1986–2019</t>
  </si>
  <si>
    <t>1986_2019_band_upper</t>
  </si>
  <si>
    <t>1986_2019_band_lower</t>
  </si>
  <si>
    <t>1950–1985</t>
  </si>
  <si>
    <t>1950_1985_band_upper</t>
  </si>
  <si>
    <t>1950_1985_band_lower</t>
  </si>
  <si>
    <t>2. Inflation</t>
  </si>
  <si>
    <t>Band, upper</t>
  </si>
  <si>
    <t>Band, lower</t>
  </si>
  <si>
    <t>(Deviation from long-term value)</t>
  </si>
  <si>
    <t>1. Monetary tightening</t>
  </si>
  <si>
    <t>Variation in interest rates</t>
  </si>
  <si>
    <t>Inflation (percentage points)</t>
  </si>
  <si>
    <t>1 (poorest)</t>
  </si>
  <si>
    <t>1–10</t>
  </si>
  <si>
    <t>10–35</t>
  </si>
  <si>
    <t>35–65</t>
  </si>
  <si>
    <t>65–90</t>
  </si>
  <si>
    <t>90–100</t>
  </si>
  <si>
    <t>99 (richest)</t>
  </si>
  <si>
    <t>GDP</t>
  </si>
  <si>
    <t>2. Fiscal restraint only</t>
  </si>
  <si>
    <t>G shock</t>
  </si>
  <si>
    <t>GDP (right scale)</t>
  </si>
  <si>
    <t>3. Fiscal restraint with targeted transfers</t>
  </si>
  <si>
    <t>transfer shock</t>
  </si>
  <si>
    <t>(Percent for the response of private wages; percentage points for core CPI)</t>
  </si>
  <si>
    <t>1. Private wages, unionization and centralization</t>
  </si>
  <si>
    <t>2. Private wages, labor markets</t>
  </si>
  <si>
    <t>3. Consumer prices, unionization and centralization</t>
  </si>
  <si>
    <t>4. Consumer prices, labor markets</t>
  </si>
  <si>
    <t>quarter</t>
  </si>
  <si>
    <t>Higher unionization and centralization</t>
  </si>
  <si>
    <t>ci90u_Higher unionization and centralization</t>
  </si>
  <si>
    <t>ci90d_Higher unionization and centralization</t>
  </si>
  <si>
    <t>Lower unionization and centralization</t>
  </si>
  <si>
    <t>ci90u_Lower unionization and centralization</t>
  </si>
  <si>
    <t>ci90d_Lower unionization and centralization</t>
  </si>
  <si>
    <t>Tighter labor markets</t>
  </si>
  <si>
    <t>ci90b</t>
  </si>
  <si>
    <t>Less tight labor markets</t>
  </si>
  <si>
    <t>ci90r</t>
  </si>
  <si>
    <t>ci90u</t>
  </si>
  <si>
    <t>ci90d</t>
  </si>
  <si>
    <t>ci90</t>
  </si>
  <si>
    <t>Source: IMF staff calculations based on Abdallah, Coady, and Jirasavetakul (2023).</t>
  </si>
  <si>
    <t>Note: Shaded areas and dashed lines represent the 90 percent confidence bands of the impulse responses. CPI = Consumer Price Index.</t>
  </si>
  <si>
    <t>Figure 2.3.1. Inflation Differentials between Middle-income and High-Income Families</t>
  </si>
  <si>
    <t>Price gap between top 5 percentile and 40–60 percentile of income group</t>
  </si>
  <si>
    <t>Price gap between top 1 percentile and 40–60 percentile of income group</t>
  </si>
  <si>
    <t>First income quartile (0-25)</t>
  </si>
  <si>
    <t>Second income quartile</t>
  </si>
  <si>
    <t>Third income quartile</t>
  </si>
  <si>
    <t>Fourth income quartile</t>
  </si>
  <si>
    <t>Price gap</t>
  </si>
  <si>
    <t>Recession</t>
  </si>
  <si>
    <t>2000m2</t>
  </si>
  <si>
    <t>2000m3</t>
  </si>
  <si>
    <t>2000m4</t>
  </si>
  <si>
    <t>2000m5</t>
  </si>
  <si>
    <t>2000m6</t>
  </si>
  <si>
    <t>2000m7</t>
  </si>
  <si>
    <t>2000m8</t>
  </si>
  <si>
    <t>2000m9</t>
  </si>
  <si>
    <t>2000m10</t>
  </si>
  <si>
    <t>2000m11</t>
  </si>
  <si>
    <t>2000m12</t>
  </si>
  <si>
    <t>2001m2</t>
  </si>
  <si>
    <t>2001m3</t>
  </si>
  <si>
    <t>2001m4</t>
  </si>
  <si>
    <t>2001m5</t>
  </si>
  <si>
    <t>2001m6</t>
  </si>
  <si>
    <t>2001m7</t>
  </si>
  <si>
    <t>2001m8</t>
  </si>
  <si>
    <t>2001m9</t>
  </si>
  <si>
    <t>2001m10</t>
  </si>
  <si>
    <t>2001m11</t>
  </si>
  <si>
    <t>2001m12</t>
  </si>
  <si>
    <t>2002m2</t>
  </si>
  <si>
    <t>2002m3</t>
  </si>
  <si>
    <t>2002m4</t>
  </si>
  <si>
    <t>2002m5</t>
  </si>
  <si>
    <t>2002m6</t>
  </si>
  <si>
    <t>2002m7</t>
  </si>
  <si>
    <t>2002m8</t>
  </si>
  <si>
    <t>2002m9</t>
  </si>
  <si>
    <t>2002m10</t>
  </si>
  <si>
    <t>2002m11</t>
  </si>
  <si>
    <t>2002m12</t>
  </si>
  <si>
    <t>2003m2</t>
  </si>
  <si>
    <t>2003m3</t>
  </si>
  <si>
    <t>2003m4</t>
  </si>
  <si>
    <t>2003m5</t>
  </si>
  <si>
    <t>2003m6</t>
  </si>
  <si>
    <t>2003m7</t>
  </si>
  <si>
    <t>2003m8</t>
  </si>
  <si>
    <t>2003m9</t>
  </si>
  <si>
    <t>2003m10</t>
  </si>
  <si>
    <t>2003m11</t>
  </si>
  <si>
    <t>2003m12</t>
  </si>
  <si>
    <t>2004m2</t>
  </si>
  <si>
    <t>2004m3</t>
  </si>
  <si>
    <t>2004m4</t>
  </si>
  <si>
    <t>2004m5</t>
  </si>
  <si>
    <t>2004m6</t>
  </si>
  <si>
    <t>2004m7</t>
  </si>
  <si>
    <t>2004m8</t>
  </si>
  <si>
    <t>2004m9</t>
  </si>
  <si>
    <t>2004m10</t>
  </si>
  <si>
    <t>2004m11</t>
  </si>
  <si>
    <t>2004m12</t>
  </si>
  <si>
    <t>2005m2</t>
  </si>
  <si>
    <t>2005m3</t>
  </si>
  <si>
    <t>2005m4</t>
  </si>
  <si>
    <t>2005m5</t>
  </si>
  <si>
    <t>2005m6</t>
  </si>
  <si>
    <t>2005m7</t>
  </si>
  <si>
    <t>2005m8</t>
  </si>
  <si>
    <t>2005m9</t>
  </si>
  <si>
    <t>2005m10</t>
  </si>
  <si>
    <t>2005m11</t>
  </si>
  <si>
    <t>2005m12</t>
  </si>
  <si>
    <t>2006m2</t>
  </si>
  <si>
    <t>2006m3</t>
  </si>
  <si>
    <t>2006m4</t>
  </si>
  <si>
    <t>2006m5</t>
  </si>
  <si>
    <t>2006m6</t>
  </si>
  <si>
    <t>2006m7</t>
  </si>
  <si>
    <t>2006m8</t>
  </si>
  <si>
    <t>2006m9</t>
  </si>
  <si>
    <t>2006m10</t>
  </si>
  <si>
    <t>2006m11</t>
  </si>
  <si>
    <t>2006m12</t>
  </si>
  <si>
    <t>2007m2</t>
  </si>
  <si>
    <t>2007m3</t>
  </si>
  <si>
    <t>2007m4</t>
  </si>
  <si>
    <t>2007m5</t>
  </si>
  <si>
    <t>2007m6</t>
  </si>
  <si>
    <t>2007m7</t>
  </si>
  <si>
    <t>2007m8</t>
  </si>
  <si>
    <t>2007m9</t>
  </si>
  <si>
    <t>2007m10</t>
  </si>
  <si>
    <t>2007m11</t>
  </si>
  <si>
    <t>2007m12</t>
  </si>
  <si>
    <t>2008m2</t>
  </si>
  <si>
    <t>2008m3</t>
  </si>
  <si>
    <t>2008m4</t>
  </si>
  <si>
    <t>2008m5</t>
  </si>
  <si>
    <t>2008m6</t>
  </si>
  <si>
    <t>2008m7</t>
  </si>
  <si>
    <t>2008m8</t>
  </si>
  <si>
    <t>2008m9</t>
  </si>
  <si>
    <t>2008m10</t>
  </si>
  <si>
    <t>2008m11</t>
  </si>
  <si>
    <t>2008m12</t>
  </si>
  <si>
    <t>2009m2</t>
  </si>
  <si>
    <t>2009m3</t>
  </si>
  <si>
    <t>2009m4</t>
  </si>
  <si>
    <t>2009m5</t>
  </si>
  <si>
    <t>2009m6</t>
  </si>
  <si>
    <t>2009m7</t>
  </si>
  <si>
    <t>2009m8</t>
  </si>
  <si>
    <t>2009m9</t>
  </si>
  <si>
    <t>2009m10</t>
  </si>
  <si>
    <t>2009m11</t>
  </si>
  <si>
    <t>2009m12</t>
  </si>
  <si>
    <t>2010m2</t>
  </si>
  <si>
    <t>2010m3</t>
  </si>
  <si>
    <t>2010m4</t>
  </si>
  <si>
    <t>2010m5</t>
  </si>
  <si>
    <t>2010m6</t>
  </si>
  <si>
    <t>2010m7</t>
  </si>
  <si>
    <t>2010m8</t>
  </si>
  <si>
    <t>2010m9</t>
  </si>
  <si>
    <t>2010m10</t>
  </si>
  <si>
    <t>2010m11</t>
  </si>
  <si>
    <t>2010m12</t>
  </si>
  <si>
    <t>2011m2</t>
  </si>
  <si>
    <t>2011m3</t>
  </si>
  <si>
    <t>2011m4</t>
  </si>
  <si>
    <t>2011m5</t>
  </si>
  <si>
    <t>2011m6</t>
  </si>
  <si>
    <t>2011m7</t>
  </si>
  <si>
    <t>2011m8</t>
  </si>
  <si>
    <t>2011m9</t>
  </si>
  <si>
    <t>2011m10</t>
  </si>
  <si>
    <t>2011m11</t>
  </si>
  <si>
    <t>2011m12</t>
  </si>
  <si>
    <t>2012m2</t>
  </si>
  <si>
    <t>2012m3</t>
  </si>
  <si>
    <t>2012m4</t>
  </si>
  <si>
    <t>2012m5</t>
  </si>
  <si>
    <t>2012m6</t>
  </si>
  <si>
    <t>2012m7</t>
  </si>
  <si>
    <t>2012m8</t>
  </si>
  <si>
    <t>2012m9</t>
  </si>
  <si>
    <t>2012m10</t>
  </si>
  <si>
    <t>2012m11</t>
  </si>
  <si>
    <t>2012m12</t>
  </si>
  <si>
    <t>2013m2</t>
  </si>
  <si>
    <t>2013m3</t>
  </si>
  <si>
    <t>2013m4</t>
  </si>
  <si>
    <t>2013m5</t>
  </si>
  <si>
    <t>2013m6</t>
  </si>
  <si>
    <t>2013m7</t>
  </si>
  <si>
    <t>2013m8</t>
  </si>
  <si>
    <t>2013m9</t>
  </si>
  <si>
    <t>2013m10</t>
  </si>
  <si>
    <t>2013m11</t>
  </si>
  <si>
    <t>2013m12</t>
  </si>
  <si>
    <t>2014m2</t>
  </si>
  <si>
    <t>2014m3</t>
  </si>
  <si>
    <t>2014m4</t>
  </si>
  <si>
    <t>2014m5</t>
  </si>
  <si>
    <t>2014m6</t>
  </si>
  <si>
    <t>2014m7</t>
  </si>
  <si>
    <t>2014m8</t>
  </si>
  <si>
    <t>2014m9</t>
  </si>
  <si>
    <t>2014m10</t>
  </si>
  <si>
    <t>2014m11</t>
  </si>
  <si>
    <t>2014m12</t>
  </si>
  <si>
    <t>2015m2</t>
  </si>
  <si>
    <t>2015m3</t>
  </si>
  <si>
    <t>2015m4</t>
  </si>
  <si>
    <t>2015m5</t>
  </si>
  <si>
    <t>2015m6</t>
  </si>
  <si>
    <t>2015m7</t>
  </si>
  <si>
    <t>2015m8</t>
  </si>
  <si>
    <t>2015m9</t>
  </si>
  <si>
    <t>2015m10</t>
  </si>
  <si>
    <t>2015m11</t>
  </si>
  <si>
    <t>2015m12</t>
  </si>
  <si>
    <t>2016m2</t>
  </si>
  <si>
    <t>2016m3</t>
  </si>
  <si>
    <t>2016m4</t>
  </si>
  <si>
    <t>2016m5</t>
  </si>
  <si>
    <t>2016m6</t>
  </si>
  <si>
    <t>2016m7</t>
  </si>
  <si>
    <t>2016m8</t>
  </si>
  <si>
    <t>2016m9</t>
  </si>
  <si>
    <t>2016m10</t>
  </si>
  <si>
    <t>2016m11</t>
  </si>
  <si>
    <t>2016m12</t>
  </si>
  <si>
    <t>2017m2</t>
  </si>
  <si>
    <t>2017m3</t>
  </si>
  <si>
    <t>2017m4</t>
  </si>
  <si>
    <t>2017m5</t>
  </si>
  <si>
    <t>2017m6</t>
  </si>
  <si>
    <t>2017m7</t>
  </si>
  <si>
    <t>2017m8</t>
  </si>
  <si>
    <t>2017m9</t>
  </si>
  <si>
    <t>2017m10</t>
  </si>
  <si>
    <t>2017m11</t>
  </si>
  <si>
    <t>2017m12</t>
  </si>
  <si>
    <t>2018m2</t>
  </si>
  <si>
    <t>2018m3</t>
  </si>
  <si>
    <t>2018m4</t>
  </si>
  <si>
    <t>2018m5</t>
  </si>
  <si>
    <t>2018m6</t>
  </si>
  <si>
    <t>2018m7</t>
  </si>
  <si>
    <t>2018m8</t>
  </si>
  <si>
    <t>2018m9</t>
  </si>
  <si>
    <t>2018m10</t>
  </si>
  <si>
    <t>2018m11</t>
  </si>
  <si>
    <t>2018m12</t>
  </si>
  <si>
    <t>2019m2</t>
  </si>
  <si>
    <t>2019m3</t>
  </si>
  <si>
    <t>2019m4</t>
  </si>
  <si>
    <t>2019m5</t>
  </si>
  <si>
    <t>2019m6</t>
  </si>
  <si>
    <t>2019m7</t>
  </si>
  <si>
    <t>2019m8</t>
  </si>
  <si>
    <t>2019m9</t>
  </si>
  <si>
    <t>2019m10</t>
  </si>
  <si>
    <t>2019m11</t>
  </si>
  <si>
    <t>2019m12</t>
  </si>
  <si>
    <t>2020m2</t>
  </si>
  <si>
    <t>2020m3</t>
  </si>
  <si>
    <t>2020m4</t>
  </si>
  <si>
    <t>2020m5</t>
  </si>
  <si>
    <t>2020m6</t>
  </si>
  <si>
    <t>2020m7</t>
  </si>
  <si>
    <t>2020m8</t>
  </si>
  <si>
    <t>2020m9</t>
  </si>
  <si>
    <t>2020m10</t>
  </si>
  <si>
    <t>2020m11</t>
  </si>
  <si>
    <t>2020m12</t>
  </si>
  <si>
    <t>2021m2</t>
  </si>
  <si>
    <t>2021m3</t>
  </si>
  <si>
    <t>2021m4</t>
  </si>
  <si>
    <t>2021m5</t>
  </si>
  <si>
    <t>2021m6</t>
  </si>
  <si>
    <t>2021m7</t>
  </si>
  <si>
    <t>2021m8</t>
  </si>
  <si>
    <t>2021m9</t>
  </si>
  <si>
    <t>2021m10</t>
  </si>
  <si>
    <t>2021m11</t>
  </si>
  <si>
    <t>2021m12</t>
  </si>
  <si>
    <t>Shade</t>
  </si>
  <si>
    <t>Revenue 
(right scale)</t>
  </si>
  <si>
    <t>expenditure</t>
  </si>
  <si>
    <t>interest_exp</t>
  </si>
  <si>
    <t>Primary expenditure 
(right scale)</t>
  </si>
  <si>
    <t>prim_balance</t>
  </si>
  <si>
    <t>Debt (left scale)</t>
  </si>
  <si>
    <t>Sources: IMF Public Finances in Modern History database;</t>
  </si>
  <si>
    <t>and IMF staff calculations.</t>
  </si>
  <si>
    <t>Note: WWI = World War I; WWII = World War II.</t>
  </si>
  <si>
    <t>cpi</t>
  </si>
  <si>
    <t>1. World War I (WWI)</t>
  </si>
  <si>
    <t>2. World War II (WWII)</t>
  </si>
  <si>
    <t>Germany (right scale)</t>
  </si>
  <si>
    <t>France (right scale)</t>
  </si>
  <si>
    <t>Italy (right scale)</t>
  </si>
  <si>
    <t>ae</t>
  </si>
  <si>
    <t>dev_gov_real</t>
  </si>
  <si>
    <t>dev_pinf_core</t>
  </si>
  <si>
    <t>COL</t>
  </si>
  <si>
    <t>CRI</t>
  </si>
  <si>
    <t>HUN</t>
  </si>
  <si>
    <t>POL</t>
  </si>
  <si>
    <t>AUT</t>
  </si>
  <si>
    <t>BEL</t>
  </si>
  <si>
    <t>CHE</t>
  </si>
  <si>
    <t>CZE</t>
  </si>
  <si>
    <t>DNK</t>
  </si>
  <si>
    <t>ESP</t>
  </si>
  <si>
    <t>EST</t>
  </si>
  <si>
    <t>FIN</t>
  </si>
  <si>
    <t>IRL</t>
  </si>
  <si>
    <t>ISR</t>
  </si>
  <si>
    <t>LTU</t>
  </si>
  <si>
    <t>LVA</t>
  </si>
  <si>
    <t>NLD</t>
  </si>
  <si>
    <t>NOR</t>
  </si>
  <si>
    <t>PRT</t>
  </si>
  <si>
    <t>SVK</t>
  </si>
  <si>
    <t>SVN</t>
  </si>
  <si>
    <t>SWE</t>
  </si>
  <si>
    <t>G7</t>
  </si>
  <si>
    <t>G-7</t>
  </si>
  <si>
    <t>G20 Advanced</t>
  </si>
  <si>
    <t>Andorra</t>
  </si>
  <si>
    <r>
      <t>Cyprus</t>
    </r>
    <r>
      <rPr>
        <vertAlign val="superscript"/>
        <sz val="9"/>
        <rFont val="Arial"/>
        <family val="2"/>
      </rPr>
      <t>1</t>
    </r>
  </si>
  <si>
    <t>Czech Republic</t>
  </si>
  <si>
    <t>Hong Kong SAR</t>
  </si>
  <si>
    <t>Iceland</t>
  </si>
  <si>
    <r>
      <t>Ireland</t>
    </r>
    <r>
      <rPr>
        <vertAlign val="superscript"/>
        <sz val="9"/>
        <rFont val="Arial"/>
        <family val="2"/>
      </rPr>
      <t>1</t>
    </r>
  </si>
  <si>
    <t>Israel</t>
  </si>
  <si>
    <t>New Zealand</t>
  </si>
  <si>
    <t>Singapore</t>
  </si>
  <si>
    <t>Switzerland</t>
  </si>
  <si>
    <t>Source: IMF staff estimates and projections. Projections are based on staff assessments of current policies (see "Fiscal Policy Assumptions" in text).</t>
  </si>
  <si>
    <t>Note: For country-specific details, see "Data and Conventions" in text and Table B.</t>
  </si>
  <si>
    <r>
      <t>1</t>
    </r>
    <r>
      <rPr>
        <sz val="9"/>
        <rFont val="Arial"/>
        <family val="2"/>
      </rPr>
      <t xml:space="preserve"> Data include financial sector support. For Cyprus, 2014 and 2015 balances exclude financial sector support.</t>
    </r>
  </si>
  <si>
    <r>
      <t xml:space="preserve">2 </t>
    </r>
    <r>
      <rPr>
        <sz val="9"/>
        <rFont val="Arial"/>
        <family val="2"/>
      </rPr>
      <t xml:space="preserve">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 </t>
    </r>
  </si>
  <si>
    <t>Footnote 1 changed 09/22/15</t>
  </si>
  <si>
    <t>Note: "Primary balance" is defined as the overall balance, excluding net interest payments. For country-specific details, see "Data and Conventions" in text and Table B.</t>
  </si>
  <si>
    <t>(Percent of potential GDP)</t>
  </si>
  <si>
    <r>
      <t>Australia</t>
    </r>
    <r>
      <rPr>
        <vertAlign val="superscript"/>
        <sz val="9"/>
        <rFont val="Arial"/>
        <family val="2"/>
      </rPr>
      <t>1</t>
    </r>
  </si>
  <si>
    <r>
      <t>Ireland</t>
    </r>
    <r>
      <rPr>
        <vertAlign val="superscript"/>
        <sz val="9"/>
        <rFont val="Arial"/>
        <family val="2"/>
      </rPr>
      <t>2</t>
    </r>
  </si>
  <si>
    <r>
      <t>Norway</t>
    </r>
    <r>
      <rPr>
        <vertAlign val="superscript"/>
        <sz val="9"/>
        <rFont val="Arial"/>
        <family val="2"/>
      </rPr>
      <t>2</t>
    </r>
  </si>
  <si>
    <r>
      <t>Spain</t>
    </r>
    <r>
      <rPr>
        <vertAlign val="superscript"/>
        <sz val="9"/>
        <rFont val="Arial"/>
        <family val="2"/>
      </rPr>
      <t>2</t>
    </r>
  </si>
  <si>
    <r>
      <t>Sweden</t>
    </r>
    <r>
      <rPr>
        <vertAlign val="superscript"/>
        <sz val="9"/>
        <rFont val="Arial"/>
        <family val="2"/>
      </rPr>
      <t>2</t>
    </r>
  </si>
  <si>
    <r>
      <t>Switzerland</t>
    </r>
    <r>
      <rPr>
        <vertAlign val="superscript"/>
        <sz val="9"/>
        <rFont val="Arial"/>
        <family val="2"/>
      </rPr>
      <t>2</t>
    </r>
  </si>
  <si>
    <r>
      <t>United Kingdom</t>
    </r>
    <r>
      <rPr>
        <vertAlign val="superscript"/>
        <sz val="9"/>
        <rFont val="Arial"/>
        <family val="2"/>
      </rPr>
      <t>2</t>
    </r>
  </si>
  <si>
    <r>
      <t>United States</t>
    </r>
    <r>
      <rPr>
        <vertAlign val="superscript"/>
        <sz val="9"/>
        <rFont val="Arial"/>
        <family val="2"/>
      </rPr>
      <t>2,3</t>
    </r>
  </si>
  <si>
    <r>
      <rPr>
        <vertAlign val="superscript"/>
        <sz val="9"/>
        <rFont val="Arial"/>
        <family val="2"/>
      </rPr>
      <t>1</t>
    </r>
    <r>
      <rPr>
        <sz val="9"/>
        <rFont val="Arial"/>
        <family val="2"/>
      </rPr>
      <t xml:space="preserve"> Data are based on the fiscal year-based potential GDP.</t>
    </r>
  </si>
  <si>
    <r>
      <rPr>
        <vertAlign val="superscript"/>
        <sz val="9"/>
        <rFont val="Arial"/>
        <family val="2"/>
      </rPr>
      <t xml:space="preserve">2 </t>
    </r>
    <r>
      <rPr>
        <sz val="9"/>
        <rFont val="Arial"/>
        <family val="2"/>
      </rPr>
      <t>Data for these economies include adjustments beyond the output cycle.</t>
    </r>
  </si>
  <si>
    <r>
      <t xml:space="preserve">3 </t>
    </r>
    <r>
      <rPr>
        <sz val="9"/>
        <rFont val="Arial"/>
        <family val="2"/>
      </rPr>
      <t>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</si>
  <si>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</si>
  <si>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rPr>
        <vertAlign val="superscript"/>
        <sz val="9"/>
        <rFont val="Arial"/>
        <family val="2"/>
      </rPr>
      <t xml:space="preserve">2 </t>
    </r>
    <r>
      <rPr>
        <sz val="9"/>
        <rFont val="Arial"/>
        <family val="2"/>
      </rPr>
      <t>The data for these economies include adjustments beyond the output cycle.</t>
    </r>
  </si>
  <si>
    <r>
      <t xml:space="preserve">3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</si>
  <si>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t>Note: For economy-specific details, see "Data and Conventions" in text and Table B.</t>
  </si>
  <si>
    <r>
      <t>United States</t>
    </r>
    <r>
      <rPr>
        <vertAlign val="superscript"/>
        <sz val="9"/>
        <rFont val="Arial"/>
        <family val="2"/>
      </rPr>
      <t>1</t>
    </r>
  </si>
  <si>
    <r>
      <t xml:space="preserve">1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</si>
  <si>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r>
      <t>Average</t>
    </r>
    <r>
      <rPr>
        <vertAlign val="superscript"/>
        <sz val="9"/>
        <rFont val="Arial"/>
        <family val="2"/>
      </rPr>
      <t>1</t>
    </r>
  </si>
  <si>
    <r>
      <t>Australia</t>
    </r>
    <r>
      <rPr>
        <vertAlign val="superscript"/>
        <sz val="9"/>
        <rFont val="Arial"/>
        <family val="2"/>
      </rPr>
      <t>2</t>
    </r>
  </si>
  <si>
    <r>
      <t>Hong Kong SAR</t>
    </r>
    <r>
      <rPr>
        <vertAlign val="superscript"/>
        <sz val="9"/>
        <rFont val="Arial"/>
        <family val="2"/>
      </rPr>
      <t>2</t>
    </r>
  </si>
  <si>
    <r>
      <rPr>
        <vertAlign val="superscript"/>
        <sz val="9"/>
        <rFont val="Arial"/>
        <family val="2"/>
      </rPr>
      <t>1</t>
    </r>
    <r>
      <rPr>
        <sz val="9"/>
        <rFont val="Arial"/>
        <family val="2"/>
      </rPr>
      <t xml:space="preserve"> The average does not include the debt incurred by the European Union, and used to finance the grants portion of the Next Generation EU (NGEU) package. This totaled €58 billion (0.4 percent of European Union GDP) as of December 31, 2021, and €158 billion (1 percent of European Union GDP) as of February 16, 2023. Debt incurred by the EU and used to on-lend to member states is included within member state debt data and regional aggregates.</t>
    </r>
  </si>
  <si>
    <r>
      <rPr>
        <vertAlign val="superscript"/>
        <sz val="9"/>
        <rFont val="Arial"/>
        <family val="2"/>
      </rPr>
      <t>2</t>
    </r>
    <r>
      <rPr>
        <sz val="9"/>
        <rFont val="Arial"/>
        <family val="2"/>
      </rPr>
      <t xml:space="preserve"> For cross-economy comparison, gross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</si>
  <si>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t>Belgium</t>
    </r>
    <r>
      <rPr>
        <vertAlign val="superscript"/>
        <sz val="9"/>
        <rFont val="Arial"/>
        <family val="2"/>
      </rPr>
      <t>3</t>
    </r>
  </si>
  <si>
    <r>
      <t>Finland</t>
    </r>
    <r>
      <rPr>
        <vertAlign val="superscript"/>
        <sz val="9"/>
        <rFont val="Arial"/>
        <family val="2"/>
      </rPr>
      <t>4</t>
    </r>
  </si>
  <si>
    <r>
      <t>Iceland</t>
    </r>
    <r>
      <rPr>
        <vertAlign val="superscript"/>
        <sz val="9"/>
        <rFont val="Arial"/>
        <family val="2"/>
      </rPr>
      <t>5</t>
    </r>
  </si>
  <si>
    <r>
      <t>Ireland</t>
    </r>
    <r>
      <rPr>
        <vertAlign val="superscript"/>
        <sz val="9"/>
        <rFont val="Arial"/>
        <family val="2"/>
      </rPr>
      <t>6</t>
    </r>
  </si>
  <si>
    <t>Note: For economy-specific details, see "Data and Conventions" in text, and Table B.</t>
  </si>
  <si>
    <r>
      <rPr>
        <vertAlign val="superscript"/>
        <sz val="9"/>
        <rFont val="Arial"/>
        <family val="2"/>
      </rPr>
      <t>2</t>
    </r>
    <r>
      <rPr>
        <sz val="9"/>
        <rFont val="Arial"/>
        <family val="2"/>
      </rPr>
      <t xml:space="preserve"> For cross-economy comparison, net debt levels reported by national statistical agencies for economies that have adopted the 2008 System of National Accounts (Australia, Canada, Hong Kong SAR, and the United States) are adjusted to exclude unfunded pension liabilities of government employees’ defined-benefit pension plans.</t>
    </r>
  </si>
  <si>
    <r>
      <rPr>
        <vertAlign val="superscript"/>
        <sz val="9"/>
        <rFont val="Arial"/>
        <family val="2"/>
      </rPr>
      <t>3</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</si>
  <si>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rFont val="Arial"/>
        <family val="2"/>
      </rPr>
      <t>4</t>
    </r>
    <r>
      <rPr>
        <sz val="9"/>
        <rFont val="Arial"/>
        <family val="2"/>
      </rPr>
      <t xml:space="preserve"> Net debt figures were revised to include only categories of assets corresponding to the liabilities covered by the Maastricht definition of "gross debt."</t>
    </r>
  </si>
  <si>
    <r>
      <rPr>
        <vertAlign val="superscript"/>
        <sz val="9"/>
        <rFont val="Arial"/>
        <family val="2"/>
      </rPr>
      <t>5</t>
    </r>
    <r>
      <rPr>
        <sz val="9"/>
        <rFont val="Arial"/>
        <family val="2"/>
      </rPr>
      <t xml:space="preserve"> "Net debt" for Iceland is defined as gross debt minus currency and deposits.</t>
    </r>
  </si>
  <si>
    <r>
      <rPr>
        <vertAlign val="superscript"/>
        <sz val="9"/>
        <rFont val="Arial"/>
        <family val="2"/>
      </rPr>
      <t>6</t>
    </r>
    <r>
      <rPr>
        <sz val="9"/>
        <rFont val="Arial"/>
        <family val="2"/>
      </rPr>
      <t xml:space="preserve"> "Net debt" for Ireland is defined as gross general debt minus debt instrument assets, namely, currency and deposits, debt securities, and loans. Net debt was previously defined as general government debt less currency and deposits.</t>
    </r>
  </si>
  <si>
    <t>*Dropped Libya from Table per Desk request (03/16/2017)</t>
  </si>
  <si>
    <t>Emerging Market and Middle-Income Economies</t>
  </si>
  <si>
    <t>G20 Emerging</t>
  </si>
  <si>
    <t>Algeria</t>
  </si>
  <si>
    <t>Angola</t>
  </si>
  <si>
    <t>Argentina</t>
  </si>
  <si>
    <t>Belarus</t>
  </si>
  <si>
    <t>Chile</t>
  </si>
  <si>
    <r>
      <t>China</t>
    </r>
    <r>
      <rPr>
        <vertAlign val="superscript"/>
        <sz val="9"/>
        <rFont val="Arial"/>
        <family val="2"/>
      </rPr>
      <t>1</t>
    </r>
  </si>
  <si>
    <t>Dominican Republic</t>
  </si>
  <si>
    <r>
      <t>Ecuador</t>
    </r>
    <r>
      <rPr>
        <vertAlign val="superscript"/>
        <sz val="9"/>
        <rFont val="Arial"/>
        <family val="2"/>
      </rPr>
      <t>2</t>
    </r>
  </si>
  <si>
    <t>Ecuador</t>
  </si>
  <si>
    <t>Egypt</t>
  </si>
  <si>
    <t>Iran</t>
  </si>
  <si>
    <t>Kazakhstan</t>
  </si>
  <si>
    <t>Kuwait</t>
  </si>
  <si>
    <t>Lebanon</t>
  </si>
  <si>
    <r>
      <t>Malaysia</t>
    </r>
    <r>
      <rPr>
        <vertAlign val="superscript"/>
        <sz val="9"/>
        <rFont val="Arial"/>
        <family val="2"/>
      </rPr>
      <t>3</t>
    </r>
  </si>
  <si>
    <t>Malaysia</t>
  </si>
  <si>
    <t>Morocco</t>
  </si>
  <si>
    <t>Oman</t>
  </si>
  <si>
    <t>Pakistan</t>
  </si>
  <si>
    <t>Peru</t>
  </si>
  <si>
    <t>Philippines</t>
  </si>
  <si>
    <t>Qatar</t>
  </si>
  <si>
    <t>Sri Lanka</t>
  </si>
  <si>
    <t>Thailand</t>
  </si>
  <si>
    <t>Türkiye</t>
  </si>
  <si>
    <t>Ukraine</t>
  </si>
  <si>
    <t>United Arab Emirates</t>
  </si>
  <si>
    <r>
      <t>Uruguay</t>
    </r>
    <r>
      <rPr>
        <vertAlign val="superscript"/>
        <sz val="9"/>
        <rFont val="Arial"/>
        <family val="2"/>
      </rPr>
      <t>4</t>
    </r>
  </si>
  <si>
    <t>Uruguay</t>
  </si>
  <si>
    <t>Venezuela</t>
  </si>
  <si>
    <t>Note: For country-specific details, see "Data and Conventions" in text and Table C. MENA = Middle East and North Africa.</t>
  </si>
  <si>
    <r>
      <rPr>
        <vertAlign val="superscript"/>
        <sz val="9"/>
        <color theme="1"/>
        <rFont val="Arial"/>
        <family val="2"/>
      </rPr>
      <t xml:space="preserve">1 </t>
    </r>
    <r>
      <rPr>
        <sz val="9"/>
        <color theme="1"/>
        <rFont val="Arial"/>
        <family val="2"/>
      </rPr>
      <t xml:space="preserve">China’s deficit and public debt numbers presented in this table cover a narrower perimeter of the general government than IMF staff’s estimates in China Article IV reports (see </t>
    </r>
    <r>
      <rPr>
        <u/>
        <sz val="9"/>
        <color theme="3" tint="0.39997558519241921"/>
        <rFont val="Arial"/>
        <family val="2"/>
      </rPr>
      <t>IMF 2023</t>
    </r>
    <r>
      <rPr>
        <sz val="9"/>
        <color theme="1"/>
        <rFont val="Arial"/>
        <family val="2"/>
      </rPr>
      <t xml:space="preserve"> for a reconciliation of the two estimates). </t>
    </r>
  </si>
  <si>
    <r>
      <rPr>
        <vertAlign val="superscript"/>
        <sz val="9"/>
        <rFont val="Arial"/>
        <family val="2"/>
      </rPr>
      <t xml:space="preserve">2 </t>
    </r>
    <r>
      <rPr>
        <sz val="9"/>
        <rFont val="Arial"/>
        <family val="2"/>
      </rPr>
      <t>The data for Ecuador reflect net lending/borrowing of the nonfinancial public sector. The authorities are undertaking revisions of the historical fiscal data with technical support from the IMF.</t>
    </r>
  </si>
  <si>
    <r>
      <rPr>
        <vertAlign val="superscript"/>
        <sz val="9"/>
        <rFont val="Arial"/>
        <family val="2"/>
      </rPr>
      <t xml:space="preserve">3 </t>
    </r>
    <r>
      <rPr>
        <sz val="9"/>
        <rFont val="Arial"/>
        <family val="2"/>
      </rPr>
      <t>The general government overall balance in 2019 includes a one-off refund of tax arrears in 2019 of 2.4 percent of GDP.</t>
    </r>
  </si>
  <si>
    <r>
      <rPr>
        <vertAlign val="superscript"/>
        <sz val="9"/>
        <rFont val="Arial"/>
        <family val="2"/>
      </rPr>
      <t xml:space="preserve">4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which amounted to 1.2 percent of GDP in 2018, 1.1 percent of GDP in 2019, 0.6 percent of GDP in 2020, and 0.3 percent of GDP in 2021 and are projected to be 0.1 percent of GDP in 2022 and 0 thereafter. See IMF Country Report No. 19/64 for further details. The disclaimer about the public pension system applies only to the revenues and net lending/borrowing series.</t>
    </r>
  </si>
  <si>
    <r>
      <t>Ecuador</t>
    </r>
    <r>
      <rPr>
        <vertAlign val="superscript"/>
        <sz val="9"/>
        <rFont val="Arial"/>
        <family val="2"/>
      </rPr>
      <t>1</t>
    </r>
  </si>
  <si>
    <r>
      <t>Kuwait</t>
    </r>
    <r>
      <rPr>
        <vertAlign val="superscript"/>
        <sz val="9"/>
        <rFont val="Arial"/>
        <family val="2"/>
      </rPr>
      <t>2</t>
    </r>
  </si>
  <si>
    <r>
      <t>Uruguay</t>
    </r>
    <r>
      <rPr>
        <vertAlign val="superscript"/>
        <sz val="9"/>
        <rFont val="Arial"/>
        <family val="2"/>
      </rPr>
      <t>3</t>
    </r>
  </si>
  <si>
    <t>Note: "Primary balance" is defined as the overall balance, excluding net interest payments. For country-specific details, see "Data and Conventions" in text and Table C. MENA = Middle East and North Africa.</t>
  </si>
  <si>
    <r>
      <rPr>
        <vertAlign val="superscript"/>
        <sz val="9"/>
        <rFont val="Arial"/>
        <family val="2"/>
      </rPr>
      <t xml:space="preserve">1 </t>
    </r>
    <r>
      <rPr>
        <sz val="9"/>
        <rFont val="Arial"/>
        <family val="2"/>
      </rPr>
      <t>The data for Ecuador reflect primary balance of the nonfinancial public sector. The authorities are undertaking revisions of the historical fiscal data with technical support from the IMF.</t>
    </r>
  </si>
  <si>
    <r>
      <rPr>
        <vertAlign val="superscript"/>
        <sz val="9"/>
        <rFont val="Arial"/>
        <family val="2"/>
      </rPr>
      <t xml:space="preserve">2 </t>
    </r>
    <r>
      <rPr>
        <sz val="9"/>
        <rFont val="Arial"/>
        <family val="2"/>
      </rPr>
      <t>Interest revenue is proxied by IMF staff estimates of investment income. The country team does not have the breakdown of investment income between interest revenue and dividends.</t>
    </r>
  </si>
  <si>
    <r>
      <rPr>
        <vertAlign val="superscript"/>
        <sz val="9"/>
        <rFont val="Arial"/>
        <family val="2"/>
      </rPr>
      <t xml:space="preserve">3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which amounted to 1.2 percent of GDP in 2018, 1.1 percent of GDP in 2019, 0.6 percent of GDP in 2020, and 0.3 percent of GDP in 2021 and are projected to be 0.1 percent of GDP in 2022 and 0 thereafter. See IMF Country Report No. 19/64 for further details. The disclaimer about the public pension system applies only to the revenues and net lending/borrowing series.</t>
    </r>
  </si>
  <si>
    <r>
      <t>Chile</t>
    </r>
    <r>
      <rPr>
        <vertAlign val="superscript"/>
        <sz val="9"/>
        <rFont val="Arial"/>
        <family val="2"/>
      </rPr>
      <t>1</t>
    </r>
  </si>
  <si>
    <r>
      <rPr>
        <vertAlign val="superscript"/>
        <sz val="9"/>
        <rFont val="Arial"/>
        <family val="2"/>
      </rPr>
      <t xml:space="preserve">1 </t>
    </r>
    <r>
      <rPr>
        <sz val="9"/>
        <rFont val="Arial"/>
        <family val="2"/>
      </rPr>
      <t>Data for these economies include adjustments beyond the output cycle.</t>
    </r>
  </si>
  <si>
    <r>
      <rPr>
        <vertAlign val="superscript"/>
        <sz val="9"/>
        <rFont val="Arial"/>
        <family val="2"/>
      </rPr>
      <t xml:space="preserve">2 </t>
    </r>
    <r>
      <rPr>
        <sz val="9"/>
        <rFont val="Arial"/>
        <family val="2"/>
      </rPr>
      <t>The data for Ecuador reflect cyclically adjusted balance of the nonfinancial public sector. The authorities are undertaking revisions of the historical fiscal data with technical support from the IMF.</t>
    </r>
  </si>
  <si>
    <r>
      <rPr>
        <vertAlign val="superscript"/>
        <sz val="9"/>
        <rFont val="Arial"/>
        <family val="2"/>
      </rPr>
      <t xml:space="preserve">3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which amounted to 1.2 percent of GDP in 2018, 1.1 percent of GDP in 2019, 0.6 percent of GDP in 2020, and 0.3 percent of GDP in 2021 and are projected to be 0.1 percent of GDP in 2022 and 0 thereafter. See IMF Country Report No. 19/64 for further details. The disclaimer about the public pension system applies only to the revenues and net lending/borrowing series.
</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</si>
  <si>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 = Middle East and North Africa.</t>
    </r>
  </si>
  <si>
    <r>
      <rPr>
        <vertAlign val="superscript"/>
        <sz val="9"/>
        <rFont val="Arial"/>
        <family val="2"/>
      </rPr>
      <t xml:space="preserve">1 </t>
    </r>
    <r>
      <rPr>
        <sz val="9"/>
        <rFont val="Arial"/>
        <family val="2"/>
      </rPr>
      <t>Data for these economies include adjustments beyond the output cycle. For country-specific details, see "Data and Conventions" in text and Table C.</t>
    </r>
  </si>
  <si>
    <r>
      <rPr>
        <vertAlign val="superscript"/>
        <sz val="9"/>
        <rFont val="Arial"/>
        <family val="2"/>
      </rPr>
      <t xml:space="preserve">2 </t>
    </r>
    <r>
      <rPr>
        <sz val="9"/>
        <rFont val="Arial"/>
        <family val="2"/>
      </rPr>
      <t>The data for Ecuador reflect cyclically adjusted primary balance of the nonfinancial public sector. The authorities are undertaking revisions of the historical fiscal data with technical support from the IMF.</t>
    </r>
  </si>
  <si>
    <r>
      <t>Uruguay</t>
    </r>
    <r>
      <rPr>
        <vertAlign val="superscript"/>
        <sz val="9"/>
        <rFont val="Arial"/>
        <family val="2"/>
      </rPr>
      <t>2</t>
    </r>
  </si>
  <si>
    <r>
      <rPr>
        <vertAlign val="superscript"/>
        <sz val="9"/>
        <rFont val="Arial"/>
        <family val="2"/>
      </rPr>
      <t xml:space="preserve">1 </t>
    </r>
    <r>
      <rPr>
        <sz val="9"/>
        <rFont val="Arial"/>
        <family val="2"/>
      </rPr>
      <t>The data for Ecuador reflect revenue of the nonfinancial public sector. The authorities are undertaking revisions of the historical fiscal data with technical support from the IMF.</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</si>
  <si>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which amounted to 1.2 percent of GDP in 2018, 1.1 percent of GDP in 2019, 0.6 percent of GDP in 2020, and 0.3 percent of GDP in 2021 and are projected to be 0.1 percent of GDP in 2022 and 0 thereafter. See IMF Country Report No. 19/64 for further details. The disclaimer about the public pension system applies only to the revenues and net lending/borrowing series.
</t>
    </r>
  </si>
  <si>
    <r>
      <rPr>
        <vertAlign val="superscript"/>
        <sz val="9"/>
        <rFont val="Arial"/>
        <family val="2"/>
      </rPr>
      <t xml:space="preserve">1 </t>
    </r>
    <r>
      <rPr>
        <sz val="9"/>
        <rFont val="Arial"/>
        <family val="2"/>
      </rPr>
      <t>The data for Ecuador reflect expenditure of the nonfinancial public sector. The authorities are undertaking revisions of the historical fiscal data with technical support from the IMF.</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</si>
  <si>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</si>
  <si>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r>
      <t>Brazil</t>
    </r>
    <r>
      <rPr>
        <vertAlign val="superscript"/>
        <sz val="9"/>
        <rFont val="Arial"/>
        <family val="2"/>
      </rPr>
      <t>2</t>
    </r>
  </si>
  <si>
    <r>
      <t>Ecuador</t>
    </r>
    <r>
      <rPr>
        <vertAlign val="superscript"/>
        <sz val="9"/>
        <rFont val="Arial"/>
        <family val="2"/>
      </rPr>
      <t>4</t>
    </r>
  </si>
  <si>
    <r>
      <t>Uruguay</t>
    </r>
    <r>
      <rPr>
        <vertAlign val="superscript"/>
        <sz val="9"/>
        <rFont val="Arial"/>
        <family val="2"/>
      </rPr>
      <t>5</t>
    </r>
  </si>
  <si>
    <r>
      <rPr>
        <vertAlign val="superscript"/>
        <sz val="9"/>
        <rFont val="Arial"/>
        <family val="2"/>
      </rPr>
      <t xml:space="preserve">2 </t>
    </r>
    <r>
      <rPr>
        <sz val="9"/>
        <rFont val="Arial"/>
        <family val="2"/>
      </rPr>
      <t xml:space="preserve">"Gross debt" refers to the nonfinancial public sector, excluding Eletrobras and Petrobras and including sovereign debt held on the balance sheet of the central bank. </t>
    </r>
  </si>
  <si>
    <r>
      <rPr>
        <vertAlign val="superscript"/>
        <sz val="9"/>
        <color theme="1"/>
        <rFont val="Arial"/>
        <family val="2"/>
      </rPr>
      <t xml:space="preserve">3 </t>
    </r>
    <r>
      <rPr>
        <sz val="9"/>
        <color theme="1"/>
        <rFont val="Arial"/>
        <family val="2"/>
      </rPr>
      <t>China’s deficit and public debt numbers presented in this table cover a narrower perimeter of the general government than IMF staff’s estimates in China Article IV reports (see</t>
    </r>
    <r>
      <rPr>
        <sz val="9"/>
        <color theme="4"/>
        <rFont val="Arial"/>
        <family val="2"/>
      </rPr>
      <t xml:space="preserve"> </t>
    </r>
    <r>
      <rPr>
        <u/>
        <sz val="9"/>
        <color theme="4"/>
        <rFont val="Arial"/>
        <family val="2"/>
      </rPr>
      <t>IMF 2023</t>
    </r>
    <r>
      <rPr>
        <sz val="9"/>
        <color theme="1"/>
        <rFont val="Arial"/>
        <family val="2"/>
      </rPr>
      <t xml:space="preserve"> for a reconciliation of the two estimates). </t>
    </r>
  </si>
  <si>
    <r>
      <rPr>
        <vertAlign val="superscript"/>
        <sz val="9"/>
        <rFont val="Arial"/>
        <family val="2"/>
      </rPr>
      <t xml:space="preserve">4 </t>
    </r>
    <r>
      <rPr>
        <sz val="9"/>
        <rFont val="Arial"/>
        <family val="2"/>
      </rPr>
      <t xml:space="preserve">In late 2016, the authorities changed the definition of "debt" to a consolidated basis, which in 2016 was 11.5 percent of GDP lower than the previous aggregate definition. Both the historic and projection numbers are now presented on a consolidated basis. </t>
    </r>
  </si>
  <si>
    <r>
      <rPr>
        <vertAlign val="superscript"/>
        <sz val="9"/>
        <rFont val="Arial"/>
        <family val="2"/>
      </rPr>
      <t xml:space="preserve">5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t>
    </r>
  </si>
  <si>
    <r>
      <t>China</t>
    </r>
    <r>
      <rPr>
        <vertAlign val="superscript"/>
        <sz val="9"/>
        <rFont val="Arial"/>
        <family val="2"/>
      </rPr>
      <t>2</t>
    </r>
  </si>
  <si>
    <r>
      <rPr>
        <vertAlign val="superscript"/>
        <sz val="9"/>
        <color theme="1"/>
        <rFont val="Arial"/>
        <family val="2"/>
      </rPr>
      <t xml:space="preserve">2 </t>
    </r>
    <r>
      <rPr>
        <sz val="9"/>
        <color theme="1"/>
        <rFont val="Arial"/>
        <family val="2"/>
      </rPr>
      <t xml:space="preserve">China’s deficit and public debt numbers presented in this table cover a narrower perimeter of the general government than IMF staff’s estimates in China Article IV reports (see </t>
    </r>
    <r>
      <rPr>
        <u/>
        <sz val="9"/>
        <color theme="4"/>
        <rFont val="Arial"/>
        <family val="2"/>
      </rPr>
      <t>IMF 2023</t>
    </r>
    <r>
      <rPr>
        <sz val="9"/>
        <color theme="1"/>
        <rFont val="Arial"/>
        <family val="2"/>
      </rPr>
      <t xml:space="preserve"> for a reconciliation of the two estimates). </t>
    </r>
  </si>
  <si>
    <r>
      <rPr>
        <vertAlign val="superscript"/>
        <sz val="9"/>
        <rFont val="Arial"/>
        <family val="2"/>
      </rPr>
      <t xml:space="preserve">3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t>
    </r>
  </si>
  <si>
    <t>Low-Income Developing Oil Producers</t>
  </si>
  <si>
    <t>Low-Income Developing Asia</t>
  </si>
  <si>
    <t>Low-Income Developing Latin America</t>
  </si>
  <si>
    <t>Sub-Saharan Africa</t>
  </si>
  <si>
    <t>Low-Income Developing Sub-Saharan Africa</t>
  </si>
  <si>
    <t>Low-Income Developing Others</t>
  </si>
  <si>
    <t>Afghanistan</t>
  </si>
  <si>
    <t>Bangladesh</t>
  </si>
  <si>
    <t>Benin</t>
  </si>
  <si>
    <t>Burkina Faso</t>
  </si>
  <si>
    <t>Cambodia</t>
  </si>
  <si>
    <t>Cameroon</t>
  </si>
  <si>
    <t>Congo, Democratic Republic of the</t>
  </si>
  <si>
    <t>Congo, Republic of</t>
  </si>
  <si>
    <t>Côte d’Ivoire</t>
  </si>
  <si>
    <t>Ethiopia</t>
  </si>
  <si>
    <t>Ghana</t>
  </si>
  <si>
    <t>Guinea</t>
  </si>
  <si>
    <t>Haiti</t>
  </si>
  <si>
    <t>Honduras</t>
  </si>
  <si>
    <t>Kyrgyz Republic</t>
  </si>
  <si>
    <t>Lao P.D.R.</t>
  </si>
  <si>
    <t>Madagascar</t>
  </si>
  <si>
    <t>Malawi</t>
  </si>
  <si>
    <t>Moldova</t>
  </si>
  <si>
    <t>Mozambique</t>
  </si>
  <si>
    <t>Myanmar</t>
  </si>
  <si>
    <t>Nicaragua</t>
  </si>
  <si>
    <t>Niger</t>
  </si>
  <si>
    <t>Papua New Guinea</t>
  </si>
  <si>
    <t>Rwanda</t>
  </si>
  <si>
    <t>Sudan</t>
  </si>
  <si>
    <t>Tajikistan</t>
  </si>
  <si>
    <t>Tanzania</t>
  </si>
  <si>
    <t>Uzbekistan</t>
  </si>
  <si>
    <t>Yemen</t>
  </si>
  <si>
    <t>Zambia</t>
  </si>
  <si>
    <t>Zimbabwe</t>
  </si>
  <si>
    <t>Note: For country-specific details, see "Data and Conventions" in text and Table D.</t>
  </si>
  <si>
    <t>Note: "Primary balance" is defined as the overall balance, excluding net interest payments. For country-specific details, see "Data and Conventions" in text and Table D.</t>
  </si>
  <si>
    <t>….</t>
  </si>
  <si>
    <r>
      <t>Nigeria</t>
    </r>
    <r>
      <rPr>
        <vertAlign val="superscript"/>
        <sz val="9"/>
        <rFont val="Arial"/>
        <family val="2"/>
      </rPr>
      <t>1</t>
    </r>
  </si>
  <si>
    <r>
      <t>Senegal</t>
    </r>
    <r>
      <rPr>
        <vertAlign val="superscript"/>
        <sz val="9"/>
        <rFont val="Arial"/>
        <family val="2"/>
      </rPr>
      <t>2</t>
    </r>
  </si>
  <si>
    <r>
      <rPr>
        <vertAlign val="superscript"/>
        <sz val="9"/>
        <rFont val="Arial"/>
        <family val="2"/>
      </rPr>
      <t xml:space="preserve">1 </t>
    </r>
    <r>
      <rPr>
        <sz val="9"/>
        <rFont val="Arial"/>
        <family val="2"/>
      </rPr>
      <t>Debt includes overdrafts from the Central Bank of Nigeria and liabilities of the Asset Management Corporation of Nigeria.</t>
    </r>
  </si>
  <si>
    <r>
      <rPr>
        <vertAlign val="superscript"/>
        <sz val="9"/>
        <rFont val="Arial"/>
        <family val="2"/>
      </rPr>
      <t>2</t>
    </r>
    <r>
      <rPr>
        <sz val="9"/>
        <rFont val="Arial"/>
        <family val="2"/>
      </rPr>
      <t xml:space="preserve"> From 2017 onward, Senegal data include the whole of the public sector, whereas before 2017, only central government debt stock was taken into account.</t>
    </r>
  </si>
  <si>
    <t>&lt;= same as gross debt deleted from the list</t>
  </si>
  <si>
    <r>
      <rPr>
        <vertAlign val="superscript"/>
        <sz val="9"/>
        <rFont val="Arial"/>
        <family val="2"/>
      </rPr>
      <t xml:space="preserve">1 </t>
    </r>
    <r>
      <rPr>
        <sz val="9"/>
        <rFont val="Arial"/>
        <family val="2"/>
      </rPr>
      <t>Debt includes overdrafts from the Central Bank of Nigeria and liabilities of the Asset Management Corporation of Nigeria. The overdrafts and government deposits at the Central Bank of Nigeria almost cancel each other out, and the Asset Management Corporation of Nigeria debt is roughly halved.</t>
    </r>
  </si>
  <si>
    <t>(Percent of GDP, except when indicated otherwise)</t>
  </si>
  <si>
    <r>
      <t>Pension Spending Change, 2022–30</t>
    </r>
    <r>
      <rPr>
        <vertAlign val="superscript"/>
        <sz val="10"/>
        <rFont val="Arial"/>
        <family val="2"/>
      </rPr>
      <t>1,8</t>
    </r>
    <r>
      <rPr>
        <sz val="10"/>
        <rFont val="Arial"/>
        <family val="2"/>
      </rPr>
      <t xml:space="preserve">
</t>
    </r>
  </si>
  <si>
    <r>
      <t>Net Present Value of Pension Spending Change, 2022–50</t>
    </r>
    <r>
      <rPr>
        <vertAlign val="superscript"/>
        <sz val="10"/>
        <rFont val="Arial"/>
        <family val="2"/>
      </rPr>
      <t>2,8</t>
    </r>
  </si>
  <si>
    <r>
      <t>Health Care Spending Change, 2022–30</t>
    </r>
    <r>
      <rPr>
        <vertAlign val="superscript"/>
        <sz val="10"/>
        <rFont val="Arial"/>
        <family val="2"/>
      </rPr>
      <t>3a,3b</t>
    </r>
  </si>
  <si>
    <r>
      <t>Net Present Value of Health Care Spending Change, 2022–50</t>
    </r>
    <r>
      <rPr>
        <vertAlign val="superscript"/>
        <sz val="10"/>
        <rFont val="Arial"/>
        <family val="2"/>
      </rPr>
      <t>2</t>
    </r>
  </si>
  <si>
    <r>
      <t>Gross Financing Need, 2023</t>
    </r>
    <r>
      <rPr>
        <vertAlign val="superscript"/>
        <sz val="10"/>
        <rFont val="Arial"/>
        <family val="2"/>
      </rPr>
      <t>4</t>
    </r>
  </si>
  <si>
    <r>
      <t>Average Term to Maturity, 2023 (years)</t>
    </r>
    <r>
      <rPr>
        <vertAlign val="superscript"/>
        <sz val="10"/>
        <rFont val="Arial"/>
        <family val="2"/>
      </rPr>
      <t>5</t>
    </r>
  </si>
  <si>
    <t>Debt to Average Maturity, 2023</t>
  </si>
  <si>
    <t>Projected Interest Rate–Growth Differential, 
2023–28
(percent)</t>
  </si>
  <si>
    <t>Pre-Pandemic Overall Balance, 
2012–19</t>
  </si>
  <si>
    <t>Projected Overall Balance, 
2023–28</t>
  </si>
  <si>
    <r>
      <t>Nonresident Holding of General Government Debt,  2022 
(percent of total)</t>
    </r>
    <r>
      <rPr>
        <vertAlign val="superscript"/>
        <sz val="10"/>
        <rFont val="Arial"/>
        <family val="2"/>
      </rPr>
      <t>6</t>
    </r>
  </si>
  <si>
    <t>Greece Removed (Desk 03/16/16)</t>
  </si>
  <si>
    <t>Cyprus: number added in GFN 2016 request by the Desk (Desk 03/31/16)</t>
  </si>
  <si>
    <r>
      <t>Singapore</t>
    </r>
    <r>
      <rPr>
        <vertAlign val="superscript"/>
        <sz val="9"/>
        <rFont val="Arial"/>
        <family val="2"/>
      </rPr>
      <t>7</t>
    </r>
  </si>
  <si>
    <r>
      <t>Pension Spending Change, 2022–30</t>
    </r>
    <r>
      <rPr>
        <vertAlign val="superscript"/>
        <sz val="10"/>
        <rFont val="Arial"/>
        <family val="2"/>
      </rPr>
      <t>1</t>
    </r>
    <r>
      <rPr>
        <sz val="10"/>
        <rFont val="Arial"/>
        <family val="2"/>
      </rPr>
      <t xml:space="preserve">
</t>
    </r>
  </si>
  <si>
    <r>
      <t>Net Present Value of Pension Spending Change, 2022–50</t>
    </r>
    <r>
      <rPr>
        <vertAlign val="superscript"/>
        <sz val="10"/>
        <rFont val="Arial"/>
        <family val="2"/>
      </rPr>
      <t>2</t>
    </r>
  </si>
  <si>
    <r>
      <t>Brazil</t>
    </r>
    <r>
      <rPr>
        <vertAlign val="superscript"/>
        <sz val="9"/>
        <rFont val="Arial"/>
        <family val="2"/>
      </rPr>
      <t>7</t>
    </r>
  </si>
  <si>
    <t>&lt;= China GFN and othe rdebt data not shown. (desk request 02/27/16)</t>
  </si>
  <si>
    <t>hardcode …</t>
  </si>
  <si>
    <t>*Libya excluded per desk request (3/2/17)</t>
  </si>
  <si>
    <r>
      <t>Türkiye</t>
    </r>
    <r>
      <rPr>
        <vertAlign val="superscript"/>
        <sz val="9"/>
        <rFont val="Arial"/>
        <family val="2"/>
      </rPr>
      <t>8</t>
    </r>
  </si>
  <si>
    <t>Turkey</t>
  </si>
  <si>
    <r>
      <t>Uruguay</t>
    </r>
    <r>
      <rPr>
        <vertAlign val="superscript"/>
        <sz val="9"/>
        <rFont val="Arial"/>
        <family val="2"/>
      </rPr>
      <t>9</t>
    </r>
  </si>
  <si>
    <t>*Venezuela excluded</t>
  </si>
  <si>
    <r>
      <t>Gross financing needs, 2015</t>
    </r>
    <r>
      <rPr>
        <vertAlign val="superscript"/>
        <sz val="10"/>
        <rFont val="Arial"/>
        <family val="2"/>
      </rPr>
      <t>3</t>
    </r>
  </si>
  <si>
    <r>
      <t>Average Term to Maturity, 2023 (years)</t>
    </r>
    <r>
      <rPr>
        <vertAlign val="superscript"/>
        <sz val="10"/>
        <rFont val="Arial"/>
        <family val="2"/>
      </rPr>
      <t>4</t>
    </r>
  </si>
  <si>
    <t>Projected Interest Rate–Growth Differential, 
2023–28 (percent)</t>
  </si>
  <si>
    <r>
      <t>Nonresident Holding of General Government Debt, 2022 
(percent of total)</t>
    </r>
    <r>
      <rPr>
        <vertAlign val="superscript"/>
        <sz val="10"/>
        <rFont val="Arial"/>
        <family val="2"/>
      </rPr>
      <t>5</t>
    </r>
  </si>
  <si>
    <t>hardcoded …</t>
  </si>
  <si>
    <t xml:space="preserve">Emerging
Market Economies
</t>
  </si>
  <si>
    <t xml:space="preserve">Low-Income Developing
Countries
</t>
  </si>
  <si>
    <r>
      <t>G20</t>
    </r>
    <r>
      <rPr>
        <b/>
        <vertAlign val="superscript"/>
        <sz val="10"/>
        <color theme="1"/>
        <rFont val="Times New Roman"/>
        <family val="1"/>
      </rPr>
      <t>1</t>
    </r>
  </si>
  <si>
    <r>
      <t>Advanced G20</t>
    </r>
    <r>
      <rPr>
        <b/>
        <vertAlign val="superscript"/>
        <sz val="10"/>
        <color theme="1"/>
        <rFont val="Times New Roman"/>
        <family val="1"/>
      </rPr>
      <t>1</t>
    </r>
  </si>
  <si>
    <t>Emerging G20</t>
  </si>
  <si>
    <t xml:space="preserve">Emerging
Market and Middle-Income Asia
</t>
  </si>
  <si>
    <t xml:space="preserve">Emerging
Market and Middle-Income Europe
</t>
  </si>
  <si>
    <t xml:space="preserve">Emerging
Market and Middle-Income Latin America
</t>
  </si>
  <si>
    <t xml:space="preserve">Emerging
Market and Middle-Income Middle East
North Africa and Pakistan
</t>
  </si>
  <si>
    <t xml:space="preserve">Emerging
Market and Middle-Income Africa
</t>
  </si>
  <si>
    <t xml:space="preserve">Low-Income Developing
Asia
</t>
  </si>
  <si>
    <t xml:space="preserve">Low-Income Developing
Others
</t>
  </si>
  <si>
    <t xml:space="preserve">Low-Income
Oil Producers
</t>
  </si>
  <si>
    <t>Oil producers</t>
  </si>
  <si>
    <t>Albania</t>
  </si>
  <si>
    <t>Brunei Darussalam</t>
  </si>
  <si>
    <t>Antigua and Barbuda</t>
  </si>
  <si>
    <t>Azerbaijan</t>
  </si>
  <si>
    <t>Bahrain</t>
  </si>
  <si>
    <t>Bhutan</t>
  </si>
  <si>
    <t>Djibouti</t>
  </si>
  <si>
    <t>Congo, Rep of.</t>
  </si>
  <si>
    <t>Fiji</t>
  </si>
  <si>
    <t>Aruba</t>
  </si>
  <si>
    <t>Burundi</t>
  </si>
  <si>
    <t>Bahamas, The</t>
  </si>
  <si>
    <t>Kiribati</t>
  </si>
  <si>
    <t>Mauritania</t>
  </si>
  <si>
    <t>Timor-Leste</t>
  </si>
  <si>
    <t>Barbados</t>
  </si>
  <si>
    <t>Iraq</t>
  </si>
  <si>
    <t>Central African Republic</t>
  </si>
  <si>
    <t>Armenia</t>
  </si>
  <si>
    <t>Belize</t>
  </si>
  <si>
    <t>Jordan</t>
  </si>
  <si>
    <t>Somalia</t>
  </si>
  <si>
    <t>Maldives</t>
  </si>
  <si>
    <t>Bolivia</t>
  </si>
  <si>
    <t>Comoros</t>
  </si>
  <si>
    <t>Marshall Islands</t>
  </si>
  <si>
    <t>Kosovo</t>
  </si>
  <si>
    <t>Congo, Dem. Rep. of the</t>
  </si>
  <si>
    <t>Micronesia</t>
  </si>
  <si>
    <t>Montenegro</t>
  </si>
  <si>
    <t>Libya</t>
  </si>
  <si>
    <t>Solomon Islands</t>
  </si>
  <si>
    <t xml:space="preserve">Congo, Rep. of </t>
  </si>
  <si>
    <t>Mongolia</t>
  </si>
  <si>
    <t>Equatorial Guinea</t>
  </si>
  <si>
    <t>Nauru</t>
  </si>
  <si>
    <t>Costa Rica</t>
  </si>
  <si>
    <t>Eritrea</t>
  </si>
  <si>
    <t>Gabon</t>
  </si>
  <si>
    <t>Palau</t>
  </si>
  <si>
    <t>Dominica</t>
  </si>
  <si>
    <t>Gambia, The</t>
  </si>
  <si>
    <t>Samoa</t>
  </si>
  <si>
    <t>Botswana</t>
  </si>
  <si>
    <t>El Salvador</t>
  </si>
  <si>
    <t>Tunisia</t>
  </si>
  <si>
    <t>Grenada</t>
  </si>
  <si>
    <t>Tonga</t>
  </si>
  <si>
    <t>Guatemala</t>
  </si>
  <si>
    <t>Tuvalu</t>
  </si>
  <si>
    <t>Guyana</t>
  </si>
  <si>
    <t>Lesotho</t>
  </si>
  <si>
    <t>Cabo Verde</t>
  </si>
  <si>
    <t>Vanuatu</t>
  </si>
  <si>
    <t>Jamaica</t>
  </si>
  <si>
    <t>Liberia</t>
  </si>
  <si>
    <t>Panama</t>
  </si>
  <si>
    <t>Paraguay</t>
  </si>
  <si>
    <t>St. Kitts and Nevis</t>
  </si>
  <si>
    <t>Trinidad and Tobago</t>
  </si>
  <si>
    <t>Macao SAR</t>
  </si>
  <si>
    <t>St. Lucia</t>
  </si>
  <si>
    <t>Turkmenistan</t>
  </si>
  <si>
    <t>St. Vincent and the Grenadines</t>
  </si>
  <si>
    <t>Netherlands, The</t>
  </si>
  <si>
    <t>Suriname</t>
  </si>
  <si>
    <t>São Tomé and Príncipe</t>
  </si>
  <si>
    <t>Sierra Leone</t>
  </si>
  <si>
    <t>Eswatini</t>
  </si>
  <si>
    <t>South Sudan</t>
  </si>
  <si>
    <t>Puerto Rico</t>
  </si>
  <si>
    <t>San Marino</t>
  </si>
  <si>
    <t>Togo</t>
  </si>
  <si>
    <t>Georgia</t>
  </si>
  <si>
    <t>Taiwan Province of China</t>
  </si>
  <si>
    <t>Mauritius</t>
  </si>
  <si>
    <t>Namibia</t>
  </si>
  <si>
    <t>Seychelles</t>
  </si>
  <si>
    <t>West Bank and Gaza</t>
  </si>
  <si>
    <t>Note: G7 = Group of Seven; G20 = Group of Twenty.</t>
  </si>
  <si>
    <t>1 Does not include European Union aggregate.</t>
  </si>
  <si>
    <r>
      <t xml:space="preserve">Table B. Advanced Economies: Definition and Coverage of </t>
    </r>
    <r>
      <rPr>
        <b/>
        <i/>
        <sz val="11"/>
        <color rgb="FF522872"/>
        <rFont val="Arial"/>
        <family val="2"/>
      </rPr>
      <t>Fiscal Monitor</t>
    </r>
    <r>
      <rPr>
        <b/>
        <sz val="11"/>
        <color rgb="FF522872"/>
        <rFont val="Arial"/>
        <family val="2"/>
      </rPr>
      <t xml:space="preserve"> Data</t>
    </r>
  </si>
  <si>
    <r>
      <t>Overall Fiscal Balance</t>
    </r>
    <r>
      <rPr>
        <b/>
        <vertAlign val="superscript"/>
        <sz val="10"/>
        <rFont val="Arial"/>
        <family val="2"/>
      </rPr>
      <t>1</t>
    </r>
  </si>
  <si>
    <t>Cyclically Adjusted Balance</t>
  </si>
  <si>
    <t>Coverage</t>
  </si>
  <si>
    <t>Accounting Practice</t>
  </si>
  <si>
    <r>
      <t>Valuation of Debt</t>
    </r>
    <r>
      <rPr>
        <b/>
        <vertAlign val="superscript"/>
        <sz val="10"/>
        <rFont val="Arial"/>
        <family val="2"/>
      </rPr>
      <t>2</t>
    </r>
  </si>
  <si>
    <t>Source</t>
  </si>
  <si>
    <t>Weo latest metadata</t>
  </si>
  <si>
    <t>WEO Oct 2018</t>
  </si>
  <si>
    <t>Aggregate</t>
  </si>
  <si>
    <t>Subsectors</t>
  </si>
  <si>
    <t>E16 Basis of recording</t>
  </si>
  <si>
    <t>E18 General government composition</t>
  </si>
  <si>
    <t>E18 General government composition.Government Entity</t>
  </si>
  <si>
    <t>E19 General government composition comments</t>
  </si>
  <si>
    <t>CG,SG,LG,TG</t>
  </si>
  <si>
    <t>A</t>
  </si>
  <si>
    <t>GG</t>
  </si>
  <si>
    <t>Current market</t>
  </si>
  <si>
    <t>DESK/Australian ED</t>
  </si>
  <si>
    <t>Central Government</t>
  </si>
  <si>
    <t>State Government</t>
  </si>
  <si>
    <t>Local Government</t>
  </si>
  <si>
    <t>CG,SG,LG,SS</t>
  </si>
  <si>
    <t>Face</t>
  </si>
  <si>
    <t>Social Security Funds</t>
  </si>
  <si>
    <t>DESK</t>
  </si>
  <si>
    <t>CG,LG,SS</t>
  </si>
  <si>
    <t>cyprus</t>
  </si>
  <si>
    <t>C</t>
  </si>
  <si>
    <t>CG</t>
  </si>
  <si>
    <t/>
  </si>
  <si>
    <t>Benoit suggestion Accounting Practice</t>
  </si>
  <si>
    <t>CG,SS</t>
  </si>
  <si>
    <t>Nonfinancial Public Corporation</t>
  </si>
  <si>
    <t>CG,LG</t>
  </si>
  <si>
    <t>CG,SG,LG</t>
  </si>
  <si>
    <t>Note: Coverage: CG = central government; GG = general government; LG = local governments; SG = state governments; SS = social security funds; TG = territorial governments. Accounting practice: A = accrual; C = cash; Mixed = combination of accrual and cash accounting.</t>
  </si>
  <si>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</si>
  <si>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</si>
  <si>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t>iiii</t>
  </si>
  <si>
    <r>
      <t xml:space="preserve">Table C. Emerging Market and Middle-Income Economies: Definition and Coverage of </t>
    </r>
    <r>
      <rPr>
        <b/>
        <i/>
        <sz val="11"/>
        <color rgb="FF522872"/>
        <rFont val="Arial"/>
        <family val="2"/>
      </rPr>
      <t>Fiscal Monitor</t>
    </r>
    <r>
      <rPr>
        <b/>
        <sz val="11"/>
        <color rgb="FF522872"/>
        <rFont val="Arial"/>
        <family val="2"/>
      </rPr>
      <t xml:space="preserve"> Data</t>
    </r>
  </si>
  <si>
    <t>Accounting 
Practice</t>
  </si>
  <si>
    <t>WEO Apr 2019</t>
  </si>
  <si>
    <t>2/14/17 - Souissi, Moez</t>
  </si>
  <si>
    <t>WEO/April2012FM</t>
  </si>
  <si>
    <t>CG, LG</t>
  </si>
  <si>
    <r>
      <t>Angola</t>
    </r>
    <r>
      <rPr>
        <vertAlign val="superscript"/>
        <sz val="9"/>
        <rFont val="Arial"/>
        <family val="2"/>
      </rPr>
      <t>3</t>
    </r>
  </si>
  <si>
    <t>CG,SG,SS</t>
  </si>
  <si>
    <t>WEO - 12/29/17 (LG removed??)</t>
  </si>
  <si>
    <r>
      <t>Belarus</t>
    </r>
    <r>
      <rPr>
        <vertAlign val="superscript"/>
        <sz val="9"/>
        <rFont val="Arial"/>
        <family val="2"/>
      </rPr>
      <t>4</t>
    </r>
  </si>
  <si>
    <t>CG,SG,LG,SS,NFPC</t>
  </si>
  <si>
    <r>
      <t>Brazil</t>
    </r>
    <r>
      <rPr>
        <vertAlign val="superscript"/>
        <sz val="10"/>
        <rFont val="Arial"/>
        <family val="2"/>
      </rPr>
      <t>5</t>
    </r>
  </si>
  <si>
    <t>NFPS</t>
  </si>
  <si>
    <r>
      <t>Colombia</t>
    </r>
    <r>
      <rPr>
        <vertAlign val="superscript"/>
        <sz val="10"/>
        <rFont val="Arial"/>
        <family val="2"/>
      </rPr>
      <t>6</t>
    </r>
  </si>
  <si>
    <t>CG,LG,SS, NMPC</t>
  </si>
  <si>
    <t>PS</t>
  </si>
  <si>
    <t>WEO - 3/1/17 (NFPC -&gt; NMPC)</t>
  </si>
  <si>
    <t>CG,SG,LG,SS, NFPC</t>
  </si>
  <si>
    <t>2/14/17 - Robles Villamil, Adrian.</t>
  </si>
  <si>
    <t>CG,LG,SS,NMPC</t>
  </si>
  <si>
    <t>Nonmonetary Financial Public Corporations</t>
  </si>
  <si>
    <t>CG,SG</t>
  </si>
  <si>
    <t>WEO - 3/1/17 (C -&gt; NC)</t>
  </si>
  <si>
    <t>CG, SS</t>
  </si>
  <si>
    <t>CG,SS,NMPC,NFPC</t>
  </si>
  <si>
    <r>
      <t>South Africa</t>
    </r>
    <r>
      <rPr>
        <vertAlign val="superscript"/>
        <sz val="9"/>
        <rFont val="Arial"/>
        <family val="2"/>
      </rPr>
      <t>7</t>
    </r>
  </si>
  <si>
    <t>WEO (Hong Ava Yeabin) - 1/3/2018</t>
  </si>
  <si>
    <t>CG,BCG,LG,SS</t>
  </si>
  <si>
    <r>
      <t>Thailand</t>
    </r>
    <r>
      <rPr>
        <vertAlign val="superscript"/>
        <sz val="10"/>
        <rFont val="Arial"/>
        <family val="2"/>
      </rPr>
      <t>8</t>
    </r>
  </si>
  <si>
    <t>WEO - 3/1/17</t>
  </si>
  <si>
    <t>CG,BCG,SG,SS</t>
  </si>
  <si>
    <t>CG,LG,SS, NMPC, NFPC</t>
  </si>
  <si>
    <t>Monetary Public Corporations, incl. central bank</t>
  </si>
  <si>
    <t>BCG,NFPC</t>
  </si>
  <si>
    <r>
      <t>Venezuela</t>
    </r>
    <r>
      <rPr>
        <vertAlign val="superscript"/>
        <sz val="9"/>
        <rFont val="Arial"/>
        <family val="2"/>
      </rPr>
      <t>9</t>
    </r>
  </si>
  <si>
    <t>Note: Coverage: BCG = budgetary central government; CG = central government; GG = general government; LG = local governments; NFPC = nonfinancial public corporations; NFPS = nonfinancial public sector;  NMPC = nonmonetary financial public corporations; PS = public sector; SG = state governments; SS = social security funds. Accounting practice: A = accrual; C = cash; Mixed = combination of accrual and cash accounting.</t>
  </si>
  <si>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</si>
  <si>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rPr>
        <vertAlign val="superscript"/>
        <sz val="9"/>
        <rFont val="Arial"/>
        <family val="2"/>
      </rPr>
      <t>3</t>
    </r>
    <r>
      <rPr>
        <sz val="9"/>
        <rFont val="Arial"/>
        <family val="2"/>
      </rPr>
      <t xml:space="preserve"> Gross debt includes the domestic and external debt of the central government; the external debt of the state-owned oil company, Sonangol, and the state-owned airline, TAAG; public guarantees; and reported external liabilities of other state entities, including external arrears.
</t>
    </r>
  </si>
  <si>
    <r>
      <rPr>
        <vertAlign val="superscript"/>
        <sz val="9"/>
        <rFont val="Arial"/>
        <family val="2"/>
      </rPr>
      <t>4</t>
    </r>
    <r>
      <rPr>
        <sz val="9"/>
        <rFont val="Arial"/>
        <family val="2"/>
      </rPr>
      <t xml:space="preserve"> Gross debt refers to general government public debt, including publicly guaranteed debt.
</t>
    </r>
  </si>
  <si>
    <r>
      <rPr>
        <vertAlign val="superscript"/>
        <sz val="9"/>
        <rFont val="Arial"/>
        <family val="2"/>
      </rPr>
      <t>5</t>
    </r>
    <r>
      <rPr>
        <sz val="9"/>
        <rFont val="Arial"/>
        <family val="2"/>
      </rPr>
      <t xml:space="preserve"> Gross debt refers to the nonfinancial public sector, excluding Eletrobras and Petrobras, and includes sovereign debt held on the balance sheet of the central bank. The overall balance combines the cash primary balance of the nonfinancial public sector and the net interest of the public sector on an accrual basis.</t>
    </r>
  </si>
  <si>
    <r>
      <rPr>
        <vertAlign val="superscript"/>
        <sz val="9"/>
        <rFont val="Arial"/>
        <family val="2"/>
      </rPr>
      <t xml:space="preserve">6 </t>
    </r>
    <r>
      <rPr>
        <sz val="9"/>
        <rFont val="Arial"/>
        <family val="2"/>
      </rPr>
      <t>Revenue is recorded on a cash basis and expenditure on an accrual basis.</t>
    </r>
  </si>
  <si>
    <r>
      <rPr>
        <vertAlign val="superscript"/>
        <sz val="9"/>
        <rFont val="Arial"/>
        <family val="2"/>
      </rPr>
      <t>7</t>
    </r>
    <r>
      <rPr>
        <sz val="9"/>
        <rFont val="Arial"/>
        <family val="2"/>
      </rPr>
      <t xml:space="preserve"> Coverage for South Africa is consolidated government, which serves as a good proxy for the general government. It includes the national and provincial governments and certain public entities, while local governments are only partly covered. The subnational government debt is estimated to be limited given the available data from the South African Reserve Bank.</t>
    </r>
  </si>
  <si>
    <r>
      <rPr>
        <vertAlign val="superscript"/>
        <sz val="9"/>
        <rFont val="Arial"/>
        <family val="2"/>
      </rPr>
      <t>8</t>
    </r>
    <r>
      <rPr>
        <sz val="9"/>
        <rFont val="Arial"/>
        <family val="2"/>
      </rPr>
      <t xml:space="preserve"> Data for Thailand do not include the debt of specialized financial institutions (SFIs/NMPC) without a government guarantee.</t>
    </r>
  </si>
  <si>
    <r>
      <t>9</t>
    </r>
    <r>
      <rPr>
        <sz val="9"/>
        <rFont val="Arial"/>
        <family val="2"/>
      </rPr>
      <t xml:space="preserve"> The fiscal accounts include the budgetary central government, social security, FOGADE (an insurance deposit institution), and a sample of public enterprises, including Petróleos de Venezuela, S.A. (PDVSA). Data for 2018–19 are IMF staff estimates. </t>
    </r>
  </si>
  <si>
    <r>
      <t xml:space="preserve">Table D. Low-Income Developing Countries: Definition and Coverage of </t>
    </r>
    <r>
      <rPr>
        <b/>
        <i/>
        <sz val="11"/>
        <color rgb="FF522872"/>
        <rFont val="Arial"/>
        <family val="2"/>
      </rPr>
      <t>Fiscal Monitor</t>
    </r>
    <r>
      <rPr>
        <b/>
        <sz val="11"/>
        <color rgb="FF522872"/>
        <rFont val="Arial"/>
        <family val="2"/>
      </rPr>
      <t xml:space="preserve"> Data</t>
    </r>
  </si>
  <si>
    <t>CB</t>
  </si>
  <si>
    <t>CG,NFPC</t>
  </si>
  <si>
    <t>DESK/WEO</t>
  </si>
  <si>
    <t>CG, LG, NFPC</t>
  </si>
  <si>
    <t>CG, NFPC</t>
  </si>
  <si>
    <t>CG,SG,LG,NFPC</t>
  </si>
  <si>
    <r>
      <t>Haiti</t>
    </r>
    <r>
      <rPr>
        <vertAlign val="superscript"/>
        <sz val="9"/>
        <rFont val="Arial"/>
        <family val="2"/>
      </rPr>
      <t>3</t>
    </r>
  </si>
  <si>
    <r>
      <t>Lao P.D.R.</t>
    </r>
    <r>
      <rPr>
        <vertAlign val="superscript"/>
        <sz val="9"/>
        <rFont val="Arial"/>
        <family val="2"/>
      </rPr>
      <t>4</t>
    </r>
  </si>
  <si>
    <t>2/14/2017 - Zhuang, Lusha.</t>
  </si>
  <si>
    <t>2/14/2017 - Carvalho, Naly</t>
  </si>
  <si>
    <r>
      <t>Myanmar</t>
    </r>
    <r>
      <rPr>
        <vertAlign val="superscript"/>
        <sz val="10"/>
        <rFont val="Arial"/>
        <family val="2"/>
      </rPr>
      <t>5</t>
    </r>
  </si>
  <si>
    <t>CG, LG, SS, NFPC</t>
  </si>
  <si>
    <r>
      <t>Uzbekistan</t>
    </r>
    <r>
      <rPr>
        <vertAlign val="superscript"/>
        <sz val="9"/>
        <rFont val="Arial"/>
        <family val="2"/>
      </rPr>
      <t>6</t>
    </r>
  </si>
  <si>
    <t>Note: Coverage: CG = central government; GG = general government; LG = local governments; NFPC = nonfinancial public corporations; NFPS = nonfinancial public sector; SG = state governments; SS = social security funds. Accounting practice: A = accrual; C = cash; CB = commitments based; Mixed = combination of accrual and cash accounting.</t>
  </si>
  <si>
    <r>
      <rPr>
        <vertAlign val="superscript"/>
        <sz val="9"/>
        <rFont val="Arial"/>
        <family val="2"/>
      </rPr>
      <t xml:space="preserve">1 </t>
    </r>
    <r>
      <rPr>
        <sz val="9"/>
        <rFont val="Arial"/>
        <family val="2"/>
      </rPr>
      <t xml:space="preserve">In many countries, fiscal data follow the IMF’s </t>
    </r>
    <r>
      <rPr>
        <i/>
        <sz val="9"/>
        <rFont val="Arial"/>
        <family val="2"/>
      </rPr>
      <t>Government Finance Statistics Manual 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</si>
  <si>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r>
      <t xml:space="preserve">3 </t>
    </r>
    <r>
      <rPr>
        <sz val="9"/>
        <rFont val="Arial"/>
        <family val="2"/>
      </rPr>
      <t>Haiti’s fiscal balance and debt data cover the central government, special funds and programs (Fonds d’Entretien Routier and Programme de Scolarisation Universelle, Gratuite, et Obligatoire), and the state-owned electricity company EDH.</t>
    </r>
  </si>
  <si>
    <r>
      <t xml:space="preserve">4 </t>
    </r>
    <r>
      <rPr>
        <sz val="9"/>
        <rFont val="Arial"/>
        <family val="2"/>
      </rPr>
      <t xml:space="preserve">Lao P.D.R.'s fiscal spending includes capital spending by local governments financed by loans provided by the central bank. </t>
    </r>
  </si>
  <si>
    <r>
      <t xml:space="preserve">5 </t>
    </r>
    <r>
      <rPr>
        <sz val="9"/>
        <rFont val="Arial"/>
        <family val="2"/>
      </rPr>
      <t>Overall and primary balances in 2012 are based on monetary statistics and are different from the balances calculated from expenditure and revenue data.</t>
    </r>
  </si>
  <si>
    <r>
      <t xml:space="preserve">6 </t>
    </r>
    <r>
      <rPr>
        <sz val="9"/>
        <rFont val="Arial"/>
        <family val="2"/>
      </rPr>
      <t>Uzbekistan's listing includes the Fund for Reconstruction and Development.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</si>
</sst>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000"/>
    <numFmt numFmtId="167" formatCode="0.000"/>
    <numFmt numFmtId="168" formatCode="[$-409]mmmm\-yy;@"/>
    <numFmt numFmtId="169" formatCode="[$-409]mmmm\-yyyy;@"/>
    <numFmt numFmtId="170" formatCode="0.00000"/>
    <numFmt numFmtId="171" formatCode="0.0%"/>
    <numFmt numFmtId="172" formatCode="_-[$€-2]* #,##0.00_-;\-[$€-2]* #,##0.00_-;_-[$€-2]* &quot;-&quot;??_-"/>
  </numFmts>
  <fonts count="96">
    <font>
      <sz val="10"/>
      <color theme="1"/>
      <name val="Arial"/>
      <family val="2"/>
    </font>
    <font>
      <sz val="10"/>
      <color theme="1"/>
      <name val="Arial"/>
      <family val="2"/>
    </font>
    <font>
      <b/>
      <sz val="10"/>
      <color theme="1"/>
      <name val="Arial"/>
      <family val="2"/>
    </font>
    <font>
      <u/>
      <sz val="10"/>
      <color theme="10"/>
      <name val="Arial"/>
      <family val="2"/>
    </font>
    <font>
      <sz val="10"/>
      <name val="Arial"/>
      <family val="2"/>
    </font>
    <font>
      <sz val="11"/>
      <name val="Times New Roman"/>
      <family val="1"/>
    </font>
    <font>
      <b/>
      <sz val="11"/>
      <name val="Times New Roman"/>
      <family val="1"/>
    </font>
    <font>
      <sz val="11"/>
      <color theme="1"/>
      <name val="Times New Roman"/>
      <family val="1"/>
    </font>
    <font>
      <u/>
      <sz val="11"/>
      <color theme="10"/>
      <name val="Calibri"/>
      <family val="2"/>
    </font>
    <font>
      <u/>
      <sz val="11"/>
      <color theme="10"/>
      <name val="Times New Roman"/>
      <family val="1"/>
    </font>
    <font>
      <i/>
      <sz val="11"/>
      <name val="Times New Roman"/>
      <family val="1"/>
    </font>
    <font>
      <u/>
      <sz val="11"/>
      <name val="Times New Roman"/>
      <family val="1"/>
    </font>
    <font>
      <sz val="9"/>
      <name val="Arial"/>
      <family val="2"/>
    </font>
    <font>
      <b/>
      <sz val="10"/>
      <color rgb="FF7030A0"/>
      <name val="HelveticaNeueLT Std"/>
      <family val="2"/>
    </font>
    <font>
      <i/>
      <sz val="9"/>
      <color rgb="FF7030A0"/>
      <name val="Arial"/>
      <family val="2"/>
    </font>
    <font>
      <i/>
      <sz val="9"/>
      <name val="Arial"/>
      <family val="2"/>
    </font>
    <font>
      <b/>
      <sz val="9"/>
      <name val="Arial"/>
      <family val="2"/>
    </font>
    <font>
      <vertAlign val="superscript"/>
      <sz val="9"/>
      <name val="Arial"/>
      <family val="2"/>
    </font>
    <font>
      <sz val="11"/>
      <color theme="1"/>
      <name val="Calibri"/>
      <family val="2"/>
      <scheme val="minor"/>
    </font>
    <font>
      <sz val="9"/>
      <color theme="1"/>
      <name val="Arial"/>
      <family val="2"/>
    </font>
    <font>
      <sz val="11"/>
      <name val="Calibri"/>
      <family val="2"/>
      <scheme val="minor"/>
    </font>
    <font>
      <sz val="9"/>
      <color rgb="FFFF0000"/>
      <name val="Arial"/>
      <family val="2"/>
    </font>
    <font>
      <b/>
      <sz val="11"/>
      <name val="Calibri"/>
      <family val="2"/>
      <scheme val="minor"/>
    </font>
    <font>
      <sz val="8"/>
      <name val="Arial"/>
      <family val="2"/>
    </font>
    <font>
      <vertAlign val="superscript"/>
      <sz val="8"/>
      <name val="Arial"/>
      <family val="2"/>
    </font>
    <font>
      <sz val="8"/>
      <color theme="1"/>
      <name val="Arial"/>
      <family val="2"/>
    </font>
    <font>
      <vertAlign val="superscript"/>
      <sz val="8"/>
      <color theme="1"/>
      <name val="Arial"/>
      <family val="2"/>
    </font>
    <font>
      <u/>
      <sz val="8"/>
      <color theme="4"/>
      <name val="Arial"/>
      <family val="2"/>
    </font>
    <font>
      <u/>
      <sz val="11"/>
      <color theme="10"/>
      <name val="Calibri"/>
      <family val="2"/>
      <scheme val="minor"/>
    </font>
    <font>
      <sz val="9"/>
      <color theme="1"/>
      <name val="Segoe UI"/>
      <family val="2"/>
    </font>
    <font>
      <b/>
      <sz val="10"/>
      <name val="Arial"/>
      <family val="2"/>
    </font>
    <font>
      <i/>
      <sz val="9"/>
      <color rgb="FF7030A0"/>
      <name val="HelveticaNeueLT Std"/>
      <family val="2"/>
    </font>
    <font>
      <i/>
      <sz val="10"/>
      <name val="Arial"/>
      <family val="2"/>
    </font>
    <font>
      <b/>
      <vertAlign val="superscript"/>
      <sz val="9"/>
      <name val="Arial"/>
      <family val="2"/>
    </font>
    <font>
      <b/>
      <sz val="9"/>
      <color theme="1"/>
      <name val="Arial"/>
      <family val="2"/>
    </font>
    <font>
      <b/>
      <sz val="12"/>
      <color rgb="FF7030A0"/>
      <name val="Arial"/>
      <family val="2"/>
    </font>
    <font>
      <i/>
      <sz val="11"/>
      <color rgb="FF7030A0"/>
      <name val="Arial"/>
      <family val="2"/>
    </font>
    <font>
      <b/>
      <sz val="11"/>
      <name val="Arial"/>
      <family val="2"/>
    </font>
    <font>
      <b/>
      <sz val="11"/>
      <color theme="1"/>
      <name val="Arial"/>
      <family val="2"/>
    </font>
    <font>
      <sz val="11"/>
      <color rgb="FFFF0000"/>
      <name val="Calibri"/>
      <family val="2"/>
      <scheme val="minor"/>
    </font>
    <font>
      <sz val="10"/>
      <name val="Calibri"/>
      <family val="2"/>
      <scheme val="minor"/>
    </font>
    <font>
      <b/>
      <sz val="12"/>
      <color rgb="FF7030A0"/>
      <name val="HelveticaNeueLT Std"/>
    </font>
    <font>
      <i/>
      <sz val="11"/>
      <color rgb="FF7030A0"/>
      <name val="HelveticaNeueLT Std"/>
    </font>
    <font>
      <sz val="11"/>
      <name val="Calibri"/>
      <family val="2"/>
    </font>
    <font>
      <sz val="9"/>
      <color theme="1"/>
      <name val="Calibri"/>
      <family val="2"/>
      <scheme val="minor"/>
    </font>
    <font>
      <b/>
      <sz val="14"/>
      <color rgb="FF7030A0"/>
      <name val="HelveticaNeueLT Std"/>
    </font>
    <font>
      <i/>
      <sz val="14"/>
      <color rgb="FF7030A0"/>
      <name val="HelveticaNeueLT Std"/>
    </font>
    <font>
      <i/>
      <sz val="12"/>
      <color rgb="FF7030A0"/>
      <name val="HelveticaNeueLT Std"/>
    </font>
    <font>
      <sz val="10"/>
      <color theme="0" tint="-0.34998626667073579"/>
      <name val="Arial"/>
      <family val="2"/>
    </font>
    <font>
      <sz val="11"/>
      <color indexed="8"/>
      <name val="Calibri"/>
      <family val="2"/>
      <scheme val="minor"/>
    </font>
    <font>
      <b/>
      <sz val="14"/>
      <color rgb="FF7030A0"/>
      <name val="Arial"/>
      <family val="2"/>
    </font>
    <font>
      <b/>
      <sz val="11"/>
      <color rgb="FF7030A0"/>
      <name val="HelveticaNeue LT 57 Cn"/>
    </font>
    <font>
      <b/>
      <i/>
      <sz val="9"/>
      <color rgb="FF7030A0"/>
      <name val="HelveticaNeue LT 57 Cn"/>
    </font>
    <font>
      <b/>
      <vertAlign val="superscript"/>
      <sz val="10"/>
      <color theme="1"/>
      <name val="Arial"/>
      <family val="2"/>
    </font>
    <font>
      <b/>
      <vertAlign val="superscript"/>
      <sz val="10"/>
      <color theme="1"/>
      <name val="Segoe UI"/>
      <family val="2"/>
    </font>
    <font>
      <b/>
      <i/>
      <sz val="11"/>
      <color rgb="FF7030A0"/>
      <name val="HelveticaNeue LT 57 Cn"/>
    </font>
    <font>
      <b/>
      <sz val="14"/>
      <color theme="1"/>
      <name val="Helvetica"/>
    </font>
    <font>
      <sz val="12"/>
      <color theme="1"/>
      <name val="Arial"/>
      <family val="2"/>
    </font>
    <font>
      <b/>
      <sz val="10"/>
      <color rgb="FF7030A0"/>
      <name val="HelveticaNeue LT 57 Cn"/>
    </font>
    <font>
      <b/>
      <i/>
      <sz val="10"/>
      <color rgb="FF7030A0"/>
      <name val="HelveticaNeue LT 57 Cn"/>
    </font>
    <font>
      <b/>
      <sz val="11"/>
      <color theme="1"/>
      <name val="Calibri"/>
      <family val="2"/>
      <scheme val="minor"/>
    </font>
    <font>
      <b/>
      <sz val="11"/>
      <color rgb="FFFF0000"/>
      <name val="Calibri"/>
      <family val="2"/>
      <scheme val="minor"/>
    </font>
    <font>
      <sz val="11"/>
      <color theme="1"/>
      <name val="Segoe UI"/>
      <family val="2"/>
    </font>
    <font>
      <b/>
      <sz val="10"/>
      <color rgb="FF7030A0"/>
      <name val="Arial"/>
      <family val="2"/>
    </font>
    <font>
      <b/>
      <sz val="10"/>
      <color theme="1"/>
      <name val="Times New Roman"/>
      <family val="1"/>
    </font>
    <font>
      <b/>
      <vertAlign val="superscript"/>
      <sz val="10"/>
      <color theme="1"/>
      <name val="Times New Roman"/>
      <family val="1"/>
    </font>
    <font>
      <sz val="10"/>
      <color theme="1"/>
      <name val="Times New Roman"/>
      <family val="1"/>
    </font>
    <font>
      <sz val="10"/>
      <color rgb="FF000000"/>
      <name val="Times New Roman"/>
      <family val="1"/>
    </font>
    <font>
      <sz val="10"/>
      <name val="Times New Roman"/>
      <family val="1"/>
    </font>
    <font>
      <sz val="11"/>
      <color theme="1"/>
      <name val="Arial"/>
      <family val="2"/>
    </font>
    <font>
      <b/>
      <sz val="11"/>
      <color rgb="FF522872"/>
      <name val="Arial"/>
      <family val="2"/>
    </font>
    <font>
      <b/>
      <i/>
      <sz val="11"/>
      <color rgb="FF522872"/>
      <name val="Arial"/>
      <family val="2"/>
    </font>
    <font>
      <b/>
      <vertAlign val="superscript"/>
      <sz val="10"/>
      <name val="Arial"/>
      <family val="2"/>
    </font>
    <font>
      <sz val="8"/>
      <name val="HelveticaNeueLT Std"/>
      <family val="2"/>
    </font>
    <font>
      <sz val="11"/>
      <color rgb="FFFF0000"/>
      <name val="Arial"/>
      <family val="2"/>
    </font>
    <font>
      <b/>
      <sz val="9"/>
      <color indexed="81"/>
      <name val="Tahoma"/>
      <family val="2"/>
    </font>
    <font>
      <sz val="9"/>
      <color indexed="81"/>
      <name val="Tahoma"/>
      <family val="2"/>
    </font>
    <font>
      <b/>
      <sz val="8"/>
      <color theme="1"/>
      <name val="Arial"/>
      <family val="2"/>
    </font>
    <font>
      <b/>
      <sz val="8"/>
      <name val="HelveticaNeueLT Std"/>
      <family val="2"/>
    </font>
    <font>
      <vertAlign val="superscript"/>
      <sz val="10"/>
      <name val="Arial"/>
      <family val="2"/>
    </font>
    <font>
      <b/>
      <sz val="8"/>
      <color rgb="FFFF0000"/>
      <name val="Arial"/>
      <family val="2"/>
    </font>
    <font>
      <sz val="11"/>
      <color theme="1"/>
      <name val="Calibri"/>
      <family val="2"/>
      <charset val="204"/>
      <scheme val="minor"/>
    </font>
    <font>
      <i/>
      <sz val="10"/>
      <color rgb="FF522872"/>
      <name val="Arial"/>
      <family val="2"/>
    </font>
    <font>
      <b/>
      <sz val="12"/>
      <color rgb="FF522872"/>
      <name val="Arial"/>
      <family val="2"/>
    </font>
    <font>
      <b/>
      <sz val="9"/>
      <color rgb="FFFF0000"/>
      <name val="Arial"/>
      <family val="2"/>
    </font>
    <font>
      <sz val="9"/>
      <color rgb="FF522872"/>
      <name val="Arial"/>
      <family val="2"/>
    </font>
    <font>
      <b/>
      <sz val="10"/>
      <color rgb="FFFF0000"/>
      <name val="Arial"/>
      <family val="2"/>
    </font>
    <font>
      <vertAlign val="superscript"/>
      <sz val="9"/>
      <color theme="1"/>
      <name val="Arial"/>
      <family val="2"/>
    </font>
    <font>
      <u/>
      <sz val="9"/>
      <color theme="3" tint="0.39997558519241921"/>
      <name val="Arial"/>
      <family val="2"/>
    </font>
    <font>
      <b/>
      <sz val="9"/>
      <color indexed="10"/>
      <name val="Arial"/>
      <family val="2"/>
    </font>
    <font>
      <b/>
      <sz val="9"/>
      <color rgb="FF522872"/>
      <name val="Arial"/>
      <family val="2"/>
    </font>
    <font>
      <sz val="9"/>
      <color theme="4"/>
      <name val="Arial"/>
      <family val="2"/>
    </font>
    <font>
      <u/>
      <sz val="9"/>
      <color theme="4"/>
      <name val="Arial"/>
      <family val="2"/>
    </font>
    <font>
      <b/>
      <sz val="12"/>
      <name val="Arial"/>
      <family val="2"/>
    </font>
    <font>
      <sz val="11"/>
      <color theme="1"/>
      <name val="Calibri"/>
      <family val="2"/>
    </font>
    <font>
      <i/>
      <sz val="10"/>
      <color rgb="FFC4122F"/>
      <name val="Arial"/>
      <family val="2"/>
    </font>
  </fonts>
  <fills count="17">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theme="0"/>
        <bgColor indexed="64"/>
      </patternFill>
    </fill>
    <fill>
      <patternFill patternType="solid">
        <fgColor rgb="FFE4D4F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00B0F0"/>
        <bgColor indexed="64"/>
      </patternFill>
    </fill>
    <fill>
      <patternFill patternType="solid">
        <fgColor theme="9"/>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style="thin">
        <color indexed="64"/>
      </right>
      <top style="double">
        <color auto="1"/>
      </top>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auto="1"/>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top style="double">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0" fontId="8" fillId="0" borderId="0" applyNumberFormat="0" applyFill="0" applyBorder="0" applyAlignment="0" applyProtection="0">
      <alignment vertical="top"/>
      <protection locked="0"/>
    </xf>
    <xf numFmtId="0" fontId="18" fillId="0" borderId="0"/>
    <xf numFmtId="0" fontId="28" fillId="0" borderId="0" applyNumberFormat="0" applyFill="0" applyBorder="0" applyAlignment="0" applyProtection="0"/>
    <xf numFmtId="0" fontId="4" fillId="0" borderId="0"/>
    <xf numFmtId="0" fontId="18" fillId="0" borderId="0"/>
    <xf numFmtId="0" fontId="43" fillId="0" borderId="0"/>
    <xf numFmtId="0" fontId="43" fillId="0" borderId="0"/>
    <xf numFmtId="0" fontId="43" fillId="0" borderId="0"/>
    <xf numFmtId="0" fontId="18" fillId="0" borderId="0"/>
    <xf numFmtId="0" fontId="49" fillId="0" borderId="0"/>
    <xf numFmtId="0" fontId="1" fillId="0" borderId="0"/>
    <xf numFmtId="0" fontId="18" fillId="0" borderId="0"/>
    <xf numFmtId="0" fontId="1" fillId="0" borderId="0"/>
    <xf numFmtId="0" fontId="18" fillId="0" borderId="0"/>
    <xf numFmtId="0" fontId="1" fillId="0" borderId="0"/>
    <xf numFmtId="0" fontId="4" fillId="0" borderId="0"/>
    <xf numFmtId="0" fontId="81" fillId="0" borderId="0"/>
    <xf numFmtId="172" fontId="94" fillId="0" borderId="0"/>
  </cellStyleXfs>
  <cellXfs count="645">
    <xf numFmtId="0" fontId="0" fillId="0" borderId="0" xfId="0"/>
    <xf numFmtId="0" fontId="5" fillId="2" borderId="0" xfId="4" applyFont="1" applyFill="1" applyAlignment="1">
      <alignment vertical="top"/>
    </xf>
    <xf numFmtId="0" fontId="5" fillId="3" borderId="1" xfId="4" applyFont="1" applyFill="1" applyBorder="1" applyAlignment="1">
      <alignment vertical="top"/>
    </xf>
    <xf numFmtId="0" fontId="5" fillId="3" borderId="2" xfId="4" applyFont="1" applyFill="1" applyBorder="1" applyAlignment="1">
      <alignment vertical="top"/>
    </xf>
    <xf numFmtId="0" fontId="5" fillId="3" borderId="3" xfId="4" applyFont="1" applyFill="1" applyBorder="1" applyAlignment="1">
      <alignment vertical="top"/>
    </xf>
    <xf numFmtId="0" fontId="5" fillId="3" borderId="4" xfId="4" applyFont="1" applyFill="1" applyBorder="1" applyAlignment="1">
      <alignment vertical="top"/>
    </xf>
    <xf numFmtId="0" fontId="5" fillId="3" borderId="0" xfId="4" applyFont="1" applyFill="1" applyAlignment="1">
      <alignment vertical="top"/>
    </xf>
    <xf numFmtId="0" fontId="5" fillId="3" borderId="5" xfId="4" applyFont="1" applyFill="1" applyBorder="1" applyAlignment="1">
      <alignment vertical="top"/>
    </xf>
    <xf numFmtId="0" fontId="6" fillId="3" borderId="4" xfId="4" applyFont="1" applyFill="1" applyBorder="1" applyAlignment="1">
      <alignment horizontal="center" vertical="top"/>
    </xf>
    <xf numFmtId="0" fontId="6" fillId="3" borderId="0" xfId="4" applyFont="1" applyFill="1" applyAlignment="1">
      <alignment horizontal="center" vertical="top"/>
    </xf>
    <xf numFmtId="0" fontId="6" fillId="3" borderId="5" xfId="4" applyFont="1" applyFill="1" applyBorder="1" applyAlignment="1">
      <alignment horizontal="center" vertical="top"/>
    </xf>
    <xf numFmtId="0" fontId="5" fillId="3" borderId="4" xfId="4" applyFont="1" applyFill="1" applyBorder="1" applyAlignment="1">
      <alignment horizontal="centerContinuous" vertical="top"/>
    </xf>
    <xf numFmtId="0" fontId="5" fillId="3" borderId="0" xfId="4" applyFont="1" applyFill="1" applyAlignment="1">
      <alignment horizontal="centerContinuous" vertical="top"/>
    </xf>
    <xf numFmtId="0" fontId="5" fillId="3" borderId="5" xfId="4" applyFont="1" applyFill="1" applyBorder="1" applyAlignment="1">
      <alignment horizontal="centerContinuous" vertical="top"/>
    </xf>
    <xf numFmtId="0" fontId="6" fillId="3" borderId="4" xfId="4" applyFont="1" applyFill="1" applyBorder="1" applyAlignment="1">
      <alignment vertical="top"/>
    </xf>
    <xf numFmtId="0" fontId="6" fillId="3" borderId="0" xfId="4" applyFont="1" applyFill="1" applyAlignment="1">
      <alignment vertical="top"/>
    </xf>
    <xf numFmtId="0" fontId="6" fillId="3" borderId="5" xfId="4" applyFont="1" applyFill="1" applyBorder="1" applyAlignment="1">
      <alignment vertical="top"/>
    </xf>
    <xf numFmtId="0" fontId="5" fillId="3" borderId="4" xfId="4" applyFont="1" applyFill="1" applyBorder="1" applyAlignment="1">
      <alignment horizontal="center" vertical="top"/>
    </xf>
    <xf numFmtId="0" fontId="5" fillId="3" borderId="0" xfId="4" applyFont="1" applyFill="1" applyAlignment="1">
      <alignment horizontal="center" vertical="top"/>
    </xf>
    <xf numFmtId="0" fontId="5" fillId="3" borderId="5" xfId="4" applyFont="1" applyFill="1" applyBorder="1" applyAlignment="1">
      <alignment horizontal="center" vertical="top"/>
    </xf>
    <xf numFmtId="0" fontId="9" fillId="3" borderId="4" xfId="5" applyFont="1" applyFill="1" applyBorder="1" applyAlignment="1" applyProtection="1">
      <alignment vertical="top"/>
    </xf>
    <xf numFmtId="0" fontId="0" fillId="3" borderId="0" xfId="0" applyFill="1"/>
    <xf numFmtId="0" fontId="0" fillId="3" borderId="5" xfId="0" applyFill="1" applyBorder="1"/>
    <xf numFmtId="0" fontId="3" fillId="3" borderId="4" xfId="3" applyFill="1" applyBorder="1" applyAlignment="1" applyProtection="1">
      <alignment horizontal="left" vertical="top"/>
    </xf>
    <xf numFmtId="0" fontId="3" fillId="3" borderId="0" xfId="3" applyFill="1" applyBorder="1" applyAlignment="1" applyProtection="1">
      <alignment horizontal="left" vertical="top" wrapText="1"/>
    </xf>
    <xf numFmtId="0" fontId="3" fillId="3" borderId="5" xfId="3" applyFill="1" applyBorder="1" applyAlignment="1" applyProtection="1">
      <alignment horizontal="left" vertical="top" wrapText="1"/>
    </xf>
    <xf numFmtId="0" fontId="9" fillId="3" borderId="5" xfId="5" applyFont="1" applyFill="1" applyBorder="1" applyAlignment="1" applyProtection="1">
      <alignment horizontal="left" vertical="top" wrapText="1"/>
    </xf>
    <xf numFmtId="0" fontId="9" fillId="3" borderId="5" xfId="3" applyFont="1" applyFill="1" applyBorder="1" applyAlignment="1" applyProtection="1">
      <alignment horizontal="left" vertical="top" wrapText="1"/>
    </xf>
    <xf numFmtId="0" fontId="9" fillId="3" borderId="4" xfId="5" applyFont="1" applyFill="1" applyBorder="1" applyAlignment="1" applyProtection="1">
      <alignment horizontal="left" vertical="top" wrapText="1"/>
    </xf>
    <xf numFmtId="0" fontId="9" fillId="3" borderId="0" xfId="5" applyFont="1" applyFill="1" applyBorder="1" applyAlignment="1" applyProtection="1">
      <alignment horizontal="left" vertical="top" wrapText="1"/>
    </xf>
    <xf numFmtId="0" fontId="9" fillId="3" borderId="6" xfId="5" applyFont="1" applyFill="1" applyBorder="1" applyAlignment="1" applyProtection="1">
      <alignment horizontal="left" vertical="top" wrapText="1"/>
    </xf>
    <xf numFmtId="0" fontId="9" fillId="3" borderId="7" xfId="5" applyFont="1" applyFill="1" applyBorder="1" applyAlignment="1" applyProtection="1">
      <alignment horizontal="left" vertical="top" wrapText="1"/>
    </xf>
    <xf numFmtId="0" fontId="9" fillId="3" borderId="8" xfId="5" applyFont="1" applyFill="1" applyBorder="1" applyAlignment="1" applyProtection="1">
      <alignment horizontal="left" vertical="top" wrapText="1"/>
    </xf>
    <xf numFmtId="0" fontId="5" fillId="2" borderId="0" xfId="4" applyFont="1" applyFill="1"/>
    <xf numFmtId="0" fontId="5" fillId="3" borderId="1" xfId="4" applyFont="1" applyFill="1" applyBorder="1"/>
    <xf numFmtId="0" fontId="5" fillId="3" borderId="2" xfId="4" applyFont="1" applyFill="1" applyBorder="1"/>
    <xf numFmtId="0" fontId="5" fillId="3" borderId="3" xfId="4" applyFont="1" applyFill="1" applyBorder="1"/>
    <xf numFmtId="0" fontId="5" fillId="3" borderId="4" xfId="4" applyFont="1" applyFill="1" applyBorder="1"/>
    <xf numFmtId="0" fontId="5" fillId="3" borderId="0" xfId="4" applyFont="1" applyFill="1"/>
    <xf numFmtId="0" fontId="5" fillId="3" borderId="5" xfId="4" applyFont="1" applyFill="1" applyBorder="1"/>
    <xf numFmtId="0" fontId="5" fillId="3" borderId="4" xfId="4" applyFont="1" applyFill="1" applyBorder="1" applyAlignment="1">
      <alignment horizontal="centerContinuous"/>
    </xf>
    <xf numFmtId="0" fontId="5" fillId="3" borderId="0" xfId="4" applyFont="1" applyFill="1" applyAlignment="1">
      <alignment horizontal="centerContinuous"/>
    </xf>
    <xf numFmtId="0" fontId="5" fillId="3" borderId="4" xfId="4" applyFont="1" applyFill="1" applyBorder="1" applyAlignment="1">
      <alignment horizontal="left" vertical="top" wrapText="1"/>
    </xf>
    <xf numFmtId="0" fontId="5" fillId="3" borderId="0" xfId="4" applyFont="1" applyFill="1" applyAlignment="1">
      <alignment horizontal="left" vertical="top" wrapText="1"/>
    </xf>
    <xf numFmtId="0" fontId="5" fillId="3" borderId="5" xfId="4" applyFont="1" applyFill="1" applyBorder="1" applyAlignment="1">
      <alignment horizontal="left" vertical="top" wrapText="1"/>
    </xf>
    <xf numFmtId="0" fontId="5" fillId="3" borderId="4" xfId="4" applyFont="1" applyFill="1" applyBorder="1" applyAlignment="1">
      <alignment horizontal="left"/>
    </xf>
    <xf numFmtId="0" fontId="5" fillId="3" borderId="0" xfId="4" applyFont="1" applyFill="1" applyAlignment="1">
      <alignment horizontal="left"/>
    </xf>
    <xf numFmtId="0" fontId="9" fillId="3" borderId="0" xfId="5" applyFont="1" applyFill="1" applyBorder="1" applyAlignment="1" applyProtection="1"/>
    <xf numFmtId="0" fontId="9" fillId="3" borderId="5" xfId="5" applyFont="1" applyFill="1" applyBorder="1" applyAlignment="1" applyProtection="1"/>
    <xf numFmtId="0" fontId="9" fillId="3" borderId="4" xfId="5" applyFont="1" applyFill="1" applyBorder="1" applyAlignment="1" applyProtection="1">
      <alignment horizontal="left"/>
    </xf>
    <xf numFmtId="0" fontId="9" fillId="3" borderId="0" xfId="5" applyFont="1" applyFill="1" applyBorder="1" applyAlignment="1" applyProtection="1">
      <alignment horizontal="left"/>
    </xf>
    <xf numFmtId="0" fontId="9" fillId="3" borderId="5" xfId="5" applyFont="1" applyFill="1" applyBorder="1" applyAlignment="1" applyProtection="1">
      <alignment horizontal="left"/>
    </xf>
    <xf numFmtId="0" fontId="5" fillId="3" borderId="6" xfId="4" applyFont="1" applyFill="1" applyBorder="1"/>
    <xf numFmtId="0" fontId="5" fillId="3" borderId="7" xfId="4" applyFont="1" applyFill="1" applyBorder="1"/>
    <xf numFmtId="0" fontId="5" fillId="3" borderId="8" xfId="4" applyFont="1" applyFill="1" applyBorder="1"/>
    <xf numFmtId="0" fontId="12" fillId="0" borderId="0" xfId="4" applyFont="1"/>
    <xf numFmtId="0" fontId="12" fillId="0" borderId="0" xfId="4" applyFont="1" applyAlignment="1">
      <alignment wrapText="1"/>
    </xf>
    <xf numFmtId="0" fontId="12" fillId="4" borderId="0" xfId="4" applyFont="1" applyFill="1"/>
    <xf numFmtId="0" fontId="14" fillId="0" borderId="0" xfId="4" applyFont="1"/>
    <xf numFmtId="0" fontId="12" fillId="0" borderId="0" xfId="4" quotePrefix="1" applyFont="1"/>
    <xf numFmtId="0" fontId="12" fillId="0" borderId="0" xfId="4" quotePrefix="1" applyFont="1" applyAlignment="1">
      <alignment wrapText="1"/>
    </xf>
    <xf numFmtId="0" fontId="12" fillId="0" borderId="0" xfId="4" applyFont="1" applyAlignment="1">
      <alignment horizontal="right"/>
    </xf>
    <xf numFmtId="0" fontId="12" fillId="0" borderId="10" xfId="4" applyFont="1" applyBorder="1" applyAlignment="1">
      <alignment vertical="center"/>
    </xf>
    <xf numFmtId="0" fontId="12" fillId="0" borderId="9" xfId="4" quotePrefix="1" applyFont="1" applyBorder="1"/>
    <xf numFmtId="0" fontId="12" fillId="0" borderId="9" xfId="4" quotePrefix="1" applyFont="1" applyBorder="1" applyAlignment="1">
      <alignment wrapText="1"/>
    </xf>
    <xf numFmtId="1" fontId="12" fillId="0" borderId="9" xfId="4" applyNumberFormat="1" applyFont="1" applyBorder="1" applyAlignment="1">
      <alignment horizontal="right" wrapText="1"/>
    </xf>
    <xf numFmtId="1" fontId="12" fillId="4" borderId="9" xfId="4" applyNumberFormat="1" applyFont="1" applyFill="1" applyBorder="1" applyAlignment="1">
      <alignment horizontal="right" wrapText="1"/>
    </xf>
    <xf numFmtId="1" fontId="12" fillId="5" borderId="9" xfId="4" applyNumberFormat="1" applyFont="1" applyFill="1" applyBorder="1" applyAlignment="1">
      <alignment horizontal="right" wrapText="1"/>
    </xf>
    <xf numFmtId="164" fontId="12" fillId="0" borderId="0" xfId="4" applyNumberFormat="1" applyFont="1" applyAlignment="1">
      <alignment horizontal="center"/>
    </xf>
    <xf numFmtId="164" fontId="12" fillId="4" borderId="0" xfId="4" applyNumberFormat="1" applyFont="1" applyFill="1" applyAlignment="1">
      <alignment horizontal="center"/>
    </xf>
    <xf numFmtId="164" fontId="12" fillId="5" borderId="0" xfId="4" applyNumberFormat="1" applyFont="1" applyFill="1" applyAlignment="1">
      <alignment horizontal="center"/>
    </xf>
    <xf numFmtId="0" fontId="16" fillId="0" borderId="0" xfId="4" applyFont="1"/>
    <xf numFmtId="0" fontId="16" fillId="6" borderId="0" xfId="4" applyFont="1" applyFill="1"/>
    <xf numFmtId="164" fontId="16" fillId="0" borderId="0" xfId="4" applyNumberFormat="1" applyFont="1" applyAlignment="1">
      <alignment horizontal="right"/>
    </xf>
    <xf numFmtId="164" fontId="16" fillId="5" borderId="0" xfId="4" applyNumberFormat="1" applyFont="1" applyFill="1" applyAlignment="1">
      <alignment horizontal="right"/>
    </xf>
    <xf numFmtId="164" fontId="12" fillId="0" borderId="0" xfId="4" applyNumberFormat="1" applyFont="1"/>
    <xf numFmtId="0" fontId="16" fillId="0" borderId="0" xfId="4" applyFont="1" applyAlignment="1">
      <alignment horizontal="left"/>
    </xf>
    <xf numFmtId="0" fontId="16" fillId="6" borderId="0" xfId="4" applyFont="1" applyFill="1" applyAlignment="1">
      <alignment horizontal="left"/>
    </xf>
    <xf numFmtId="164" fontId="16" fillId="4" borderId="0" xfId="4" applyNumberFormat="1" applyFont="1" applyFill="1"/>
    <xf numFmtId="0" fontId="12" fillId="0" borderId="0" xfId="4" applyFont="1" applyAlignment="1">
      <alignment horizontal="left"/>
    </xf>
    <xf numFmtId="0" fontId="12" fillId="6" borderId="0" xfId="4" applyFont="1" applyFill="1" applyAlignment="1">
      <alignment horizontal="left"/>
    </xf>
    <xf numFmtId="164" fontId="12" fillId="0" borderId="0" xfId="4" applyNumberFormat="1" applyFont="1" applyAlignment="1">
      <alignment horizontal="right"/>
    </xf>
    <xf numFmtId="164" fontId="12" fillId="5" borderId="0" xfId="4" applyNumberFormat="1" applyFont="1" applyFill="1" applyAlignment="1">
      <alignment horizontal="right"/>
    </xf>
    <xf numFmtId="0" fontId="12" fillId="4" borderId="0" xfId="4" applyFont="1" applyFill="1" applyAlignment="1">
      <alignment horizontal="left" indent="2"/>
    </xf>
    <xf numFmtId="164" fontId="12" fillId="4" borderId="0" xfId="4" applyNumberFormat="1" applyFont="1" applyFill="1"/>
    <xf numFmtId="0" fontId="12" fillId="0" borderId="0" xfId="4" applyFont="1" applyAlignment="1">
      <alignment horizontal="left" indent="3"/>
    </xf>
    <xf numFmtId="0" fontId="19" fillId="6" borderId="0" xfId="6" applyFont="1" applyFill="1"/>
    <xf numFmtId="0" fontId="16" fillId="4" borderId="0" xfId="4" applyFont="1" applyFill="1" applyAlignment="1">
      <alignment horizontal="left"/>
    </xf>
    <xf numFmtId="0" fontId="12" fillId="4" borderId="0" xfId="4" applyFont="1" applyFill="1" applyAlignment="1">
      <alignment horizontal="left"/>
    </xf>
    <xf numFmtId="0" fontId="16" fillId="4" borderId="0" xfId="4" applyFont="1" applyFill="1" applyAlignment="1">
      <alignment horizontal="left" indent="1"/>
    </xf>
    <xf numFmtId="0" fontId="12" fillId="4" borderId="0" xfId="4" applyFont="1" applyFill="1" applyAlignment="1">
      <alignment horizontal="left" wrapText="1" indent="1"/>
    </xf>
    <xf numFmtId="0" fontId="20" fillId="0" borderId="0" xfId="6" applyFont="1"/>
    <xf numFmtId="0" fontId="12" fillId="4" borderId="0" xfId="4" applyFont="1" applyFill="1" applyAlignment="1">
      <alignment horizontal="left" indent="3"/>
    </xf>
    <xf numFmtId="164" fontId="21" fillId="4" borderId="0" xfId="4" applyNumberFormat="1" applyFont="1" applyFill="1"/>
    <xf numFmtId="0" fontId="12" fillId="4" borderId="0" xfId="4" applyFont="1" applyFill="1" applyAlignment="1">
      <alignment horizontal="left" vertical="center" indent="3"/>
    </xf>
    <xf numFmtId="0" fontId="16" fillId="0" borderId="0" xfId="4" applyFont="1" applyAlignment="1">
      <alignment horizontal="left" indent="1"/>
    </xf>
    <xf numFmtId="0" fontId="22" fillId="0" borderId="0" xfId="6" applyFont="1"/>
    <xf numFmtId="0" fontId="12" fillId="0" borderId="0" xfId="4" applyFont="1" applyAlignment="1">
      <alignment horizontal="left" indent="2"/>
    </xf>
    <xf numFmtId="0" fontId="12" fillId="0" borderId="0" xfId="4" applyFont="1" applyAlignment="1">
      <alignment horizontal="left" indent="1"/>
    </xf>
    <xf numFmtId="0" fontId="16" fillId="4" borderId="0" xfId="4" applyFont="1" applyFill="1"/>
    <xf numFmtId="0" fontId="12" fillId="0" borderId="0" xfId="4" applyFont="1" applyAlignment="1">
      <alignment horizontal="left" wrapText="1"/>
    </xf>
    <xf numFmtId="164" fontId="12" fillId="4" borderId="0" xfId="4" applyNumberFormat="1" applyFont="1" applyFill="1" applyAlignment="1">
      <alignment horizontal="right"/>
    </xf>
    <xf numFmtId="0" fontId="18" fillId="0" borderId="0" xfId="6"/>
    <xf numFmtId="0" fontId="12" fillId="0" borderId="10" xfId="4" applyFont="1" applyBorder="1" applyAlignment="1">
      <alignment horizontal="left" indent="1"/>
    </xf>
    <xf numFmtId="0" fontId="12" fillId="0" borderId="10" xfId="4" applyFont="1" applyBorder="1" applyAlignment="1">
      <alignment horizontal="left" wrapText="1"/>
    </xf>
    <xf numFmtId="164" fontId="12" fillId="0" borderId="10" xfId="4" applyNumberFormat="1" applyFont="1" applyBorder="1" applyAlignment="1">
      <alignment horizontal="right"/>
    </xf>
    <xf numFmtId="164" fontId="12" fillId="4" borderId="10" xfId="4" applyNumberFormat="1" applyFont="1" applyFill="1" applyBorder="1" applyAlignment="1">
      <alignment horizontal="right"/>
    </xf>
    <xf numFmtId="0" fontId="12" fillId="4" borderId="0" xfId="4" applyFont="1" applyFill="1" applyAlignment="1">
      <alignment vertical="top" wrapText="1"/>
    </xf>
    <xf numFmtId="0" fontId="28" fillId="0" borderId="0" xfId="7"/>
    <xf numFmtId="0" fontId="18" fillId="0" borderId="0" xfId="6" applyAlignment="1">
      <alignment vertical="center"/>
    </xf>
    <xf numFmtId="0" fontId="29" fillId="0" borderId="0" xfId="6" applyFont="1"/>
    <xf numFmtId="0" fontId="13" fillId="0" borderId="0" xfId="4" applyFont="1" applyAlignment="1">
      <alignment vertical="top"/>
    </xf>
    <xf numFmtId="0" fontId="30" fillId="0" borderId="0" xfId="4" applyFont="1" applyAlignment="1">
      <alignment vertical="top"/>
    </xf>
    <xf numFmtId="0" fontId="30" fillId="4" borderId="0" xfId="4" applyFont="1" applyFill="1" applyAlignment="1">
      <alignment vertical="top"/>
    </xf>
    <xf numFmtId="0" fontId="31" fillId="4" borderId="0" xfId="4" applyFont="1" applyFill="1" applyAlignment="1">
      <alignment vertical="top"/>
    </xf>
    <xf numFmtId="0" fontId="32" fillId="4" borderId="0" xfId="4" applyFont="1" applyFill="1" applyAlignment="1">
      <alignment vertical="top"/>
    </xf>
    <xf numFmtId="0" fontId="32" fillId="4" borderId="9" xfId="4" applyFont="1" applyFill="1" applyBorder="1" applyAlignment="1">
      <alignment vertical="top"/>
    </xf>
    <xf numFmtId="0" fontId="12" fillId="0" borderId="0" xfId="4" quotePrefix="1" applyFont="1" applyAlignment="1">
      <alignment vertical="top"/>
    </xf>
    <xf numFmtId="0" fontId="12" fillId="0" borderId="0" xfId="4" applyFont="1" applyAlignment="1">
      <alignment vertical="top"/>
    </xf>
    <xf numFmtId="0" fontId="12" fillId="0" borderId="0" xfId="4" applyFont="1" applyAlignment="1">
      <alignment horizontal="right" vertical="top"/>
    </xf>
    <xf numFmtId="0" fontId="12" fillId="4" borderId="0" xfId="4" applyFont="1" applyFill="1" applyAlignment="1">
      <alignment vertical="top"/>
    </xf>
    <xf numFmtId="0" fontId="12" fillId="0" borderId="9" xfId="4" quotePrefix="1" applyFont="1" applyBorder="1" applyAlignment="1">
      <alignment vertical="top"/>
    </xf>
    <xf numFmtId="1" fontId="12" fillId="0" borderId="9" xfId="4" applyNumberFormat="1" applyFont="1" applyBorder="1" applyAlignment="1">
      <alignment horizontal="right" vertical="top"/>
    </xf>
    <xf numFmtId="1" fontId="12" fillId="4" borderId="9" xfId="4" applyNumberFormat="1" applyFont="1" applyFill="1" applyBorder="1" applyAlignment="1">
      <alignment horizontal="right" vertical="top"/>
    </xf>
    <xf numFmtId="1" fontId="12" fillId="5" borderId="9" xfId="4" applyNumberFormat="1" applyFont="1" applyFill="1" applyBorder="1" applyAlignment="1">
      <alignment horizontal="right" vertical="top"/>
    </xf>
    <xf numFmtId="164" fontId="12" fillId="0" borderId="0" xfId="4" applyNumberFormat="1" applyFont="1" applyAlignment="1">
      <alignment horizontal="center" vertical="top"/>
    </xf>
    <xf numFmtId="164" fontId="12" fillId="4" borderId="0" xfId="4" applyNumberFormat="1" applyFont="1" applyFill="1" applyAlignment="1">
      <alignment horizontal="center" vertical="top"/>
    </xf>
    <xf numFmtId="164" fontId="12" fillId="5" borderId="0" xfId="4" applyNumberFormat="1" applyFont="1" applyFill="1" applyAlignment="1">
      <alignment horizontal="center" vertical="top"/>
    </xf>
    <xf numFmtId="0" fontId="16" fillId="0" borderId="0" xfId="4" applyFont="1" applyAlignment="1">
      <alignment vertical="top"/>
    </xf>
    <xf numFmtId="0" fontId="34" fillId="6" borderId="0" xfId="6" applyFont="1" applyFill="1" applyAlignment="1">
      <alignment vertical="top"/>
    </xf>
    <xf numFmtId="164" fontId="16" fillId="0" borderId="0" xfId="4" applyNumberFormat="1" applyFont="1" applyAlignment="1">
      <alignment horizontal="right" vertical="top"/>
    </xf>
    <xf numFmtId="164" fontId="16" fillId="5" borderId="0" xfId="4" applyNumberFormat="1" applyFont="1" applyFill="1" applyAlignment="1">
      <alignment horizontal="right" vertical="top"/>
    </xf>
    <xf numFmtId="0" fontId="12" fillId="4" borderId="0" xfId="4" applyFont="1" applyFill="1" applyAlignment="1">
      <alignment horizontal="left" vertical="top"/>
    </xf>
    <xf numFmtId="0" fontId="12" fillId="6" borderId="0" xfId="4" applyFont="1" applyFill="1" applyAlignment="1">
      <alignment horizontal="left" vertical="top"/>
    </xf>
    <xf numFmtId="0" fontId="16" fillId="0" borderId="0" xfId="4" applyFont="1" applyAlignment="1">
      <alignment horizontal="left" vertical="top"/>
    </xf>
    <xf numFmtId="0" fontId="12" fillId="0" borderId="0" xfId="4" applyFont="1" applyAlignment="1">
      <alignment horizontal="left" vertical="top"/>
    </xf>
    <xf numFmtId="164" fontId="12" fillId="0" borderId="0" xfId="4" applyNumberFormat="1" applyFont="1" applyAlignment="1">
      <alignment horizontal="right" vertical="top"/>
    </xf>
    <xf numFmtId="164" fontId="12" fillId="5" borderId="0" xfId="4" applyNumberFormat="1" applyFont="1" applyFill="1" applyAlignment="1">
      <alignment horizontal="right" vertical="top"/>
    </xf>
    <xf numFmtId="0" fontId="12" fillId="0" borderId="0" xfId="4" applyFont="1" applyAlignment="1">
      <alignment horizontal="left" vertical="top" indent="1"/>
    </xf>
    <xf numFmtId="0" fontId="12" fillId="4" borderId="0" xfId="4" applyFont="1" applyFill="1" applyAlignment="1">
      <alignment horizontal="left" vertical="top" indent="1"/>
    </xf>
    <xf numFmtId="164" fontId="12" fillId="4" borderId="0" xfId="4" applyNumberFormat="1" applyFont="1" applyFill="1" applyAlignment="1">
      <alignment horizontal="right" vertical="top"/>
    </xf>
    <xf numFmtId="164" fontId="16" fillId="4" borderId="0" xfId="4" applyNumberFormat="1" applyFont="1" applyFill="1" applyAlignment="1">
      <alignment horizontal="right"/>
    </xf>
    <xf numFmtId="164" fontId="16" fillId="4" borderId="0" xfId="4" applyNumberFormat="1" applyFont="1" applyFill="1" applyAlignment="1">
      <alignment horizontal="right" vertical="top"/>
    </xf>
    <xf numFmtId="0" fontId="12" fillId="4" borderId="0" xfId="4" applyFont="1" applyFill="1" applyAlignment="1">
      <alignment horizontal="left" vertical="top" indent="2"/>
    </xf>
    <xf numFmtId="0" fontId="12" fillId="4" borderId="0" xfId="4" applyFont="1" applyFill="1" applyAlignment="1">
      <alignment horizontal="left" vertical="top" indent="3"/>
    </xf>
    <xf numFmtId="164" fontId="21" fillId="0" borderId="0" xfId="4" applyNumberFormat="1" applyFont="1"/>
    <xf numFmtId="0" fontId="21" fillId="0" borderId="0" xfId="4" applyFont="1"/>
    <xf numFmtId="0" fontId="12" fillId="4" borderId="0" xfId="4" applyFont="1" applyFill="1" applyAlignment="1">
      <alignment horizontal="left" vertical="center" indent="2"/>
    </xf>
    <xf numFmtId="0" fontId="16" fillId="4" borderId="0" xfId="4" applyFont="1" applyFill="1" applyAlignment="1">
      <alignment horizontal="left" vertical="top"/>
    </xf>
    <xf numFmtId="0" fontId="16" fillId="6" borderId="0" xfId="4" applyFont="1" applyFill="1" applyAlignment="1">
      <alignment vertical="top"/>
    </xf>
    <xf numFmtId="0" fontId="16" fillId="4" borderId="0" xfId="4" applyFont="1" applyFill="1" applyAlignment="1">
      <alignment vertical="top"/>
    </xf>
    <xf numFmtId="0" fontId="16" fillId="6" borderId="0" xfId="4" applyFont="1" applyFill="1" applyAlignment="1">
      <alignment horizontal="left" vertical="top"/>
    </xf>
    <xf numFmtId="0" fontId="12" fillId="0" borderId="10" xfId="4" applyFont="1" applyBorder="1" applyAlignment="1">
      <alignment horizontal="left" vertical="top"/>
    </xf>
    <xf numFmtId="164" fontId="12" fillId="0" borderId="10" xfId="4" applyNumberFormat="1" applyFont="1" applyBorder="1" applyAlignment="1">
      <alignment horizontal="right" vertical="top"/>
    </xf>
    <xf numFmtId="0" fontId="12" fillId="0" borderId="10" xfId="4" applyFont="1" applyBorder="1" applyAlignment="1">
      <alignment vertical="top"/>
    </xf>
    <xf numFmtId="1" fontId="0" fillId="0" borderId="0" xfId="2" applyNumberFormat="1" applyFont="1" applyFill="1"/>
    <xf numFmtId="0" fontId="35" fillId="0" borderId="0" xfId="0" applyFont="1"/>
    <xf numFmtId="0" fontId="36" fillId="0" borderId="0" xfId="0" applyFont="1"/>
    <xf numFmtId="0" fontId="4" fillId="0" borderId="0" xfId="8"/>
    <xf numFmtId="0" fontId="20" fillId="0" borderId="0" xfId="0" applyFont="1"/>
    <xf numFmtId="165" fontId="0" fillId="0" borderId="0" xfId="1" applyNumberFormat="1" applyFont="1"/>
    <xf numFmtId="0" fontId="4" fillId="7" borderId="0" xfId="8" applyFill="1"/>
    <xf numFmtId="164" fontId="0" fillId="0" borderId="0" xfId="0" applyNumberFormat="1"/>
    <xf numFmtId="2" fontId="0" fillId="0" borderId="0" xfId="0" applyNumberFormat="1"/>
    <xf numFmtId="0" fontId="20" fillId="4" borderId="0" xfId="0" applyFont="1" applyFill="1"/>
    <xf numFmtId="0" fontId="0" fillId="4" borderId="0" xfId="0" applyFill="1"/>
    <xf numFmtId="0" fontId="4" fillId="4" borderId="0" xfId="8" applyFill="1"/>
    <xf numFmtId="0" fontId="35" fillId="4" borderId="0" xfId="8" applyFont="1" applyFill="1"/>
    <xf numFmtId="0" fontId="35" fillId="4" borderId="0" xfId="0" applyFont="1" applyFill="1"/>
    <xf numFmtId="0" fontId="37" fillId="4" borderId="0" xfId="8" applyFont="1" applyFill="1"/>
    <xf numFmtId="0" fontId="38" fillId="4" borderId="0" xfId="0" applyFont="1" applyFill="1"/>
    <xf numFmtId="0" fontId="2" fillId="0" borderId="0" xfId="0" applyFont="1"/>
    <xf numFmtId="14" fontId="0" fillId="0" borderId="0" xfId="0" applyNumberFormat="1"/>
    <xf numFmtId="166" fontId="0" fillId="0" borderId="0" xfId="0" applyNumberFormat="1"/>
    <xf numFmtId="0" fontId="18" fillId="4" borderId="0" xfId="9" applyFill="1"/>
    <xf numFmtId="0" fontId="36" fillId="4" borderId="0" xfId="9" applyFont="1" applyFill="1"/>
    <xf numFmtId="164" fontId="18" fillId="4" borderId="0" xfId="9" applyNumberFormat="1" applyFill="1"/>
    <xf numFmtId="0" fontId="39" fillId="8" borderId="0" xfId="9" applyFont="1" applyFill="1"/>
    <xf numFmtId="0" fontId="36" fillId="4" borderId="0" xfId="0" applyFont="1" applyFill="1"/>
    <xf numFmtId="0" fontId="40" fillId="0" borderId="0" xfId="8" quotePrefix="1" applyFont="1"/>
    <xf numFmtId="1" fontId="40" fillId="0" borderId="9" xfId="8" applyNumberFormat="1" applyFont="1" applyBorder="1" applyAlignment="1">
      <alignment horizontal="center"/>
    </xf>
    <xf numFmtId="0" fontId="40" fillId="0" borderId="0" xfId="8" applyFont="1"/>
    <xf numFmtId="164" fontId="40" fillId="0" borderId="0" xfId="8" applyNumberFormat="1" applyFont="1" applyAlignment="1">
      <alignment horizontal="center"/>
    </xf>
    <xf numFmtId="164" fontId="40" fillId="0" borderId="0" xfId="8" applyNumberFormat="1" applyFont="1"/>
    <xf numFmtId="0" fontId="40" fillId="4" borderId="0" xfId="8" applyFont="1" applyFill="1"/>
    <xf numFmtId="0" fontId="36" fillId="4" borderId="0" xfId="8" applyFont="1" applyFill="1"/>
    <xf numFmtId="0" fontId="35" fillId="0" borderId="0" xfId="8" applyFont="1"/>
    <xf numFmtId="0" fontId="42" fillId="4" borderId="0" xfId="0" applyFont="1" applyFill="1"/>
    <xf numFmtId="2" fontId="43" fillId="0" borderId="0" xfId="10" applyNumberFormat="1"/>
    <xf numFmtId="0" fontId="43" fillId="0" borderId="0" xfId="10"/>
    <xf numFmtId="1" fontId="43" fillId="0" borderId="0" xfId="10" applyNumberFormat="1"/>
    <xf numFmtId="0" fontId="43" fillId="4" borderId="0" xfId="10" applyFill="1"/>
    <xf numFmtId="0" fontId="35" fillId="4" borderId="0" xfId="10" applyFont="1" applyFill="1"/>
    <xf numFmtId="0" fontId="36" fillId="4" borderId="0" xfId="10" applyFont="1" applyFill="1"/>
    <xf numFmtId="2" fontId="43" fillId="0" borderId="9" xfId="10" applyNumberFormat="1" applyBorder="1"/>
    <xf numFmtId="1" fontId="43" fillId="0" borderId="9" xfId="10" applyNumberFormat="1" applyBorder="1"/>
    <xf numFmtId="0" fontId="43" fillId="0" borderId="9" xfId="10" applyBorder="1"/>
    <xf numFmtId="0" fontId="43" fillId="8" borderId="0" xfId="10" applyFill="1"/>
    <xf numFmtId="2" fontId="43" fillId="8" borderId="0" xfId="10" applyNumberFormat="1" applyFill="1"/>
    <xf numFmtId="0" fontId="44" fillId="4" borderId="0" xfId="6" applyFont="1" applyFill="1" applyAlignment="1">
      <alignment horizontal="center" vertical="top" wrapText="1"/>
    </xf>
    <xf numFmtId="1" fontId="4" fillId="0" borderId="0" xfId="8" applyNumberFormat="1"/>
    <xf numFmtId="0" fontId="4" fillId="0" borderId="0" xfId="8" applyAlignment="1">
      <alignment wrapText="1"/>
    </xf>
    <xf numFmtId="164" fontId="4" fillId="0" borderId="0" xfId="8" applyNumberFormat="1"/>
    <xf numFmtId="1" fontId="4" fillId="0" borderId="9" xfId="8" applyNumberFormat="1" applyBorder="1"/>
    <xf numFmtId="0" fontId="4" fillId="0" borderId="9" xfId="8" applyBorder="1" applyAlignment="1">
      <alignment wrapText="1"/>
    </xf>
    <xf numFmtId="0" fontId="4" fillId="0" borderId="9" xfId="8" applyBorder="1"/>
    <xf numFmtId="2" fontId="4" fillId="0" borderId="0" xfId="8" applyNumberFormat="1"/>
    <xf numFmtId="164" fontId="43" fillId="0" borderId="0" xfId="10" applyNumberFormat="1"/>
    <xf numFmtId="0" fontId="45" fillId="0" borderId="0" xfId="10" applyFont="1" applyAlignment="1">
      <alignment horizontal="left" vertical="top" readingOrder="1"/>
    </xf>
    <xf numFmtId="0" fontId="46" fillId="0" borderId="0" xfId="10" applyFont="1" applyAlignment="1">
      <alignment horizontal="left" vertical="top" readingOrder="1"/>
    </xf>
    <xf numFmtId="0" fontId="37" fillId="4" borderId="0" xfId="10" applyFont="1" applyFill="1"/>
    <xf numFmtId="0" fontId="43" fillId="0" borderId="0" xfId="10" applyAlignment="1">
      <alignment wrapText="1"/>
    </xf>
    <xf numFmtId="1" fontId="43" fillId="0" borderId="0" xfId="11" applyNumberFormat="1"/>
    <xf numFmtId="167" fontId="43" fillId="0" borderId="0" xfId="11" applyNumberFormat="1"/>
    <xf numFmtId="0" fontId="45" fillId="4" borderId="0" xfId="10" applyFont="1" applyFill="1" applyAlignment="1">
      <alignment horizontal="left" vertical="top" readingOrder="1"/>
    </xf>
    <xf numFmtId="0" fontId="35" fillId="0" borderId="0" xfId="10" applyFont="1"/>
    <xf numFmtId="0" fontId="47" fillId="4" borderId="0" xfId="10" applyFont="1" applyFill="1" applyAlignment="1">
      <alignment horizontal="left" vertical="top" readingOrder="1"/>
    </xf>
    <xf numFmtId="1" fontId="43" fillId="0" borderId="0" xfId="12" applyNumberFormat="1"/>
    <xf numFmtId="2" fontId="43" fillId="0" borderId="0" xfId="12" applyNumberFormat="1"/>
    <xf numFmtId="0" fontId="35" fillId="4" borderId="0" xfId="0" applyFont="1" applyFill="1" applyAlignment="1">
      <alignment horizontal="left" vertical="top" readingOrder="1"/>
    </xf>
    <xf numFmtId="0" fontId="41" fillId="0" borderId="0" xfId="0" applyFont="1" applyAlignment="1">
      <alignment horizontal="left" vertical="top" readingOrder="1"/>
    </xf>
    <xf numFmtId="0" fontId="45" fillId="4" borderId="0" xfId="0" applyFont="1" applyFill="1" applyAlignment="1">
      <alignment horizontal="left" vertical="top" readingOrder="1"/>
    </xf>
    <xf numFmtId="0" fontId="42" fillId="4" borderId="0" xfId="0" applyFont="1" applyFill="1" applyAlignment="1">
      <alignment horizontal="left" vertical="top" readingOrder="1"/>
    </xf>
    <xf numFmtId="0" fontId="0" fillId="0" borderId="0" xfId="0" applyAlignment="1">
      <alignment horizontal="center"/>
    </xf>
    <xf numFmtId="0" fontId="4" fillId="0" borderId="0" xfId="0" applyFont="1" applyAlignment="1">
      <alignment horizontal="left"/>
    </xf>
    <xf numFmtId="0" fontId="4" fillId="0" borderId="0" xfId="0" applyFont="1" applyAlignment="1">
      <alignment horizontal="center"/>
    </xf>
    <xf numFmtId="0" fontId="0" fillId="0" borderId="0" xfId="0" applyAlignment="1">
      <alignment horizontal="left"/>
    </xf>
    <xf numFmtId="1" fontId="0" fillId="0" borderId="0" xfId="0" applyNumberFormat="1"/>
    <xf numFmtId="0" fontId="48" fillId="0" borderId="0" xfId="0" applyFont="1" applyAlignment="1">
      <alignment horizontal="center"/>
    </xf>
    <xf numFmtId="0" fontId="4" fillId="9" borderId="0" xfId="8" applyFill="1"/>
    <xf numFmtId="168" fontId="4" fillId="9" borderId="0" xfId="8" applyNumberFormat="1" applyFill="1"/>
    <xf numFmtId="169" fontId="4" fillId="9" borderId="0" xfId="8" applyNumberFormat="1" applyFill="1"/>
    <xf numFmtId="164" fontId="4" fillId="9" borderId="0" xfId="8" applyNumberFormat="1" applyFill="1"/>
    <xf numFmtId="168" fontId="4" fillId="0" borderId="0" xfId="8" applyNumberFormat="1"/>
    <xf numFmtId="0" fontId="18" fillId="4" borderId="0" xfId="13" applyFill="1"/>
    <xf numFmtId="0" fontId="18" fillId="10" borderId="0" xfId="13" applyFill="1"/>
    <xf numFmtId="0" fontId="18" fillId="10" borderId="0" xfId="13" quotePrefix="1" applyFill="1"/>
    <xf numFmtId="0" fontId="18" fillId="0" borderId="0" xfId="13"/>
    <xf numFmtId="2" fontId="18" fillId="0" borderId="0" xfId="13" applyNumberFormat="1"/>
    <xf numFmtId="0" fontId="49" fillId="0" borderId="0" xfId="14"/>
    <xf numFmtId="0" fontId="49" fillId="4" borderId="0" xfId="14" applyFill="1"/>
    <xf numFmtId="0" fontId="43" fillId="0" borderId="0" xfId="12"/>
    <xf numFmtId="0" fontId="49" fillId="4" borderId="11" xfId="14" applyFill="1" applyBorder="1"/>
    <xf numFmtId="0" fontId="50" fillId="4" borderId="0" xfId="12" applyFont="1" applyFill="1" applyAlignment="1">
      <alignment horizontal="left" vertical="top" readingOrder="1"/>
    </xf>
    <xf numFmtId="0" fontId="43" fillId="4" borderId="0" xfId="12" applyFill="1"/>
    <xf numFmtId="0" fontId="49" fillId="4" borderId="12" xfId="14" applyFill="1" applyBorder="1"/>
    <xf numFmtId="0" fontId="37" fillId="4" borderId="0" xfId="12" applyFont="1" applyFill="1"/>
    <xf numFmtId="0" fontId="30" fillId="8" borderId="0" xfId="8" applyFont="1" applyFill="1"/>
    <xf numFmtId="170" fontId="4" fillId="0" borderId="0" xfId="8" applyNumberFormat="1"/>
    <xf numFmtId="170" fontId="4" fillId="3" borderId="0" xfId="8" applyNumberFormat="1" applyFill="1"/>
    <xf numFmtId="0" fontId="41" fillId="4" borderId="0" xfId="8" applyFont="1" applyFill="1"/>
    <xf numFmtId="170" fontId="4" fillId="11" borderId="0" xfId="8" applyNumberFormat="1" applyFill="1"/>
    <xf numFmtId="0" fontId="51" fillId="4" borderId="0" xfId="0" applyFont="1" applyFill="1" applyAlignment="1">
      <alignment vertical="center"/>
    </xf>
    <xf numFmtId="0" fontId="52" fillId="4" borderId="0" xfId="0" applyFont="1" applyFill="1"/>
    <xf numFmtId="0" fontId="0" fillId="4" borderId="9" xfId="0" applyFill="1" applyBorder="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xf numFmtId="0" fontId="0" fillId="4" borderId="12" xfId="0" applyFill="1" applyBorder="1" applyAlignment="1">
      <alignment horizontal="center"/>
    </xf>
    <xf numFmtId="164" fontId="0" fillId="4" borderId="0" xfId="0" applyNumberFormat="1" applyFill="1" applyAlignment="1">
      <alignment horizontal="center"/>
    </xf>
    <xf numFmtId="164" fontId="0" fillId="4" borderId="12" xfId="0" applyNumberFormat="1" applyFill="1" applyBorder="1" applyAlignment="1">
      <alignment horizontal="center"/>
    </xf>
    <xf numFmtId="164" fontId="0" fillId="4" borderId="19" xfId="0" applyNumberFormat="1" applyFill="1" applyBorder="1" applyAlignment="1">
      <alignment horizontal="center"/>
    </xf>
    <xf numFmtId="0" fontId="0" fillId="4" borderId="12" xfId="0" quotePrefix="1" applyFill="1" applyBorder="1" applyAlignment="1">
      <alignment horizontal="center"/>
    </xf>
    <xf numFmtId="0" fontId="0" fillId="4" borderId="20" xfId="0" applyFill="1" applyBorder="1" applyAlignment="1">
      <alignment horizontal="center"/>
    </xf>
    <xf numFmtId="164" fontId="0" fillId="4" borderId="21" xfId="0" applyNumberFormat="1" applyFill="1" applyBorder="1" applyAlignment="1">
      <alignment horizontal="center"/>
    </xf>
    <xf numFmtId="164" fontId="0" fillId="4" borderId="20" xfId="0" applyNumberFormat="1" applyFill="1" applyBorder="1" applyAlignment="1">
      <alignment horizontal="center"/>
    </xf>
    <xf numFmtId="164" fontId="0" fillId="4" borderId="22" xfId="0" applyNumberFormat="1" applyFill="1" applyBorder="1" applyAlignment="1">
      <alignment horizontal="center"/>
    </xf>
    <xf numFmtId="0" fontId="2" fillId="0" borderId="0" xfId="0" applyFont="1" applyAlignment="1">
      <alignment horizontal="center" vertical="center"/>
    </xf>
    <xf numFmtId="0" fontId="2" fillId="10" borderId="0" xfId="0" applyFont="1" applyFill="1"/>
    <xf numFmtId="0" fontId="0" fillId="10" borderId="0" xfId="0" applyFill="1"/>
    <xf numFmtId="1" fontId="0" fillId="10" borderId="0" xfId="0" applyNumberFormat="1" applyFill="1"/>
    <xf numFmtId="0" fontId="2" fillId="10" borderId="0" xfId="0" applyFont="1" applyFill="1" applyAlignment="1">
      <alignment horizontal="left" vertical="center"/>
    </xf>
    <xf numFmtId="0" fontId="30" fillId="4" borderId="0" xfId="4" applyFont="1" applyFill="1"/>
    <xf numFmtId="0" fontId="4" fillId="4" borderId="0" xfId="4" applyFill="1"/>
    <xf numFmtId="0" fontId="4" fillId="0" borderId="0" xfId="4"/>
    <xf numFmtId="164" fontId="4" fillId="4" borderId="0" xfId="4" applyNumberFormat="1" applyFill="1"/>
    <xf numFmtId="164" fontId="0" fillId="10" borderId="0" xfId="0" applyNumberFormat="1" applyFill="1"/>
    <xf numFmtId="0" fontId="1" fillId="4" borderId="0" xfId="15" applyFill="1"/>
    <xf numFmtId="0" fontId="4" fillId="10" borderId="0" xfId="0" applyFont="1" applyFill="1"/>
    <xf numFmtId="0" fontId="51" fillId="0" borderId="0" xfId="0" applyFont="1" applyAlignment="1">
      <alignment vertical="center"/>
    </xf>
    <xf numFmtId="0" fontId="55" fillId="0" borderId="0" xfId="0" applyFont="1" applyAlignment="1">
      <alignment vertical="center"/>
    </xf>
    <xf numFmtId="0" fontId="2" fillId="4" borderId="0" xfId="0" applyFont="1" applyFill="1" applyAlignment="1">
      <alignment horizontal="center"/>
    </xf>
    <xf numFmtId="0" fontId="56" fillId="0" borderId="0" xfId="0" applyFont="1" applyAlignment="1">
      <alignment horizontal="center" vertical="center"/>
    </xf>
    <xf numFmtId="0" fontId="2" fillId="4" borderId="0" xfId="0" applyFont="1" applyFill="1"/>
    <xf numFmtId="0" fontId="57" fillId="4" borderId="0" xfId="0" applyFont="1" applyFill="1"/>
    <xf numFmtId="0" fontId="57" fillId="0" borderId="0" xfId="0" applyFont="1"/>
    <xf numFmtId="0" fontId="2" fillId="10" borderId="0" xfId="0" applyFont="1" applyFill="1" applyAlignment="1">
      <alignment wrapText="1"/>
    </xf>
    <xf numFmtId="0" fontId="0" fillId="4" borderId="0" xfId="2" applyNumberFormat="1" applyFont="1" applyFill="1" applyBorder="1"/>
    <xf numFmtId="1" fontId="0" fillId="10" borderId="0" xfId="2" applyNumberFormat="1" applyFont="1" applyFill="1" applyBorder="1"/>
    <xf numFmtId="0" fontId="0" fillId="10" borderId="21" xfId="0" applyFill="1" applyBorder="1"/>
    <xf numFmtId="1" fontId="0" fillId="10" borderId="21" xfId="2" applyNumberFormat="1" applyFont="1" applyFill="1" applyBorder="1"/>
    <xf numFmtId="0" fontId="0" fillId="4" borderId="0" xfId="0" applyFill="1" applyAlignment="1">
      <alignment horizontal="center" vertical="center" wrapText="1"/>
    </xf>
    <xf numFmtId="0" fontId="0" fillId="10" borderId="0" xfId="0" applyFill="1" applyAlignment="1">
      <alignment horizontal="center" vertical="center" wrapText="1"/>
    </xf>
    <xf numFmtId="0" fontId="56" fillId="0" borderId="0" xfId="0" applyFont="1" applyAlignment="1">
      <alignment horizontal="center"/>
    </xf>
    <xf numFmtId="0" fontId="0" fillId="0" borderId="0" xfId="0" applyAlignment="1">
      <alignment horizontal="center" vertical="center" wrapText="1"/>
    </xf>
    <xf numFmtId="0" fontId="0" fillId="0" borderId="0" xfId="2" applyNumberFormat="1" applyFont="1" applyFill="1" applyBorder="1"/>
    <xf numFmtId="0" fontId="2" fillId="0" borderId="0" xfId="0" applyFont="1" applyAlignment="1">
      <alignment horizontal="center"/>
    </xf>
    <xf numFmtId="0" fontId="51" fillId="0" borderId="0" xfId="0" applyFont="1"/>
    <xf numFmtId="0" fontId="55" fillId="0" borderId="0" xfId="0" applyFont="1"/>
    <xf numFmtId="0" fontId="0" fillId="10" borderId="0" xfId="0" applyFill="1" applyAlignment="1">
      <alignment vertical="center"/>
    </xf>
    <xf numFmtId="2" fontId="0" fillId="10" borderId="0" xfId="2" applyNumberFormat="1" applyFont="1" applyFill="1" applyBorder="1"/>
    <xf numFmtId="0" fontId="2" fillId="10" borderId="0" xfId="2" applyNumberFormat="1" applyFont="1" applyFill="1" applyBorder="1"/>
    <xf numFmtId="2" fontId="1" fillId="10" borderId="0" xfId="2" applyNumberFormat="1" applyFont="1" applyFill="1" applyBorder="1"/>
    <xf numFmtId="2" fontId="0" fillId="10" borderId="0" xfId="0" applyNumberFormat="1" applyFill="1"/>
    <xf numFmtId="0" fontId="58" fillId="0" borderId="0" xfId="0" applyFont="1"/>
    <xf numFmtId="0" fontId="59" fillId="0" borderId="0" xfId="0" applyFont="1"/>
    <xf numFmtId="171" fontId="0" fillId="0" borderId="0" xfId="2" applyNumberFormat="1" applyFont="1"/>
    <xf numFmtId="0" fontId="2" fillId="10" borderId="0" xfId="0" applyFont="1" applyFill="1" applyAlignment="1">
      <alignment horizontal="center" vertical="center"/>
    </xf>
    <xf numFmtId="164" fontId="0" fillId="10" borderId="0" xfId="0" applyNumberFormat="1" applyFill="1" applyAlignment="1">
      <alignment horizontal="center"/>
    </xf>
    <xf numFmtId="0" fontId="4" fillId="10" borderId="0" xfId="4" applyFill="1"/>
    <xf numFmtId="164" fontId="4" fillId="10" borderId="0" xfId="4" applyNumberFormat="1" applyFill="1"/>
    <xf numFmtId="0" fontId="18" fillId="0" borderId="0" xfId="16"/>
    <xf numFmtId="0" fontId="60" fillId="0" borderId="0" xfId="16" applyFont="1" applyAlignment="1">
      <alignment horizontal="center" vertical="top"/>
    </xf>
    <xf numFmtId="0" fontId="18" fillId="4" borderId="0" xfId="16" applyFill="1"/>
    <xf numFmtId="0" fontId="2" fillId="10" borderId="0" xfId="16" applyFont="1" applyFill="1"/>
    <xf numFmtId="0" fontId="18" fillId="10" borderId="0" xfId="16" applyFill="1"/>
    <xf numFmtId="164" fontId="18" fillId="0" borderId="0" xfId="16" applyNumberFormat="1"/>
    <xf numFmtId="0" fontId="1" fillId="10" borderId="0" xfId="16" applyFont="1" applyFill="1" applyAlignment="1">
      <alignment horizontal="center" vertical="center"/>
    </xf>
    <xf numFmtId="0" fontId="2" fillId="10" borderId="0" xfId="16" applyFont="1" applyFill="1" applyAlignment="1">
      <alignment horizontal="center" vertical="center"/>
    </xf>
    <xf numFmtId="164" fontId="1" fillId="10" borderId="0" xfId="16" applyNumberFormat="1" applyFont="1" applyFill="1" applyAlignment="1">
      <alignment horizontal="center" vertical="center"/>
    </xf>
    <xf numFmtId="0" fontId="61" fillId="0" borderId="0" xfId="16" applyFont="1" applyAlignment="1">
      <alignment horizontal="center"/>
    </xf>
    <xf numFmtId="0" fontId="18" fillId="4" borderId="0" xfId="16" applyFill="1" applyAlignment="1">
      <alignment wrapText="1"/>
    </xf>
    <xf numFmtId="0" fontId="18" fillId="10" borderId="0" xfId="16" applyFill="1" applyAlignment="1">
      <alignment horizontal="center" wrapText="1"/>
    </xf>
    <xf numFmtId="0" fontId="18" fillId="10" borderId="0" xfId="16" applyFill="1" applyAlignment="1">
      <alignment horizontal="center"/>
    </xf>
    <xf numFmtId="0" fontId="62" fillId="10" borderId="0" xfId="16" quotePrefix="1" applyFont="1" applyFill="1" applyAlignment="1">
      <alignment horizontal="center" wrapText="1"/>
    </xf>
    <xf numFmtId="0" fontId="18" fillId="10" borderId="0" xfId="16" applyFill="1" applyAlignment="1">
      <alignment horizontal="left"/>
    </xf>
    <xf numFmtId="1" fontId="18" fillId="10" borderId="0" xfId="16" applyNumberFormat="1" applyFill="1" applyAlignment="1">
      <alignment horizontal="center"/>
    </xf>
    <xf numFmtId="0" fontId="2" fillId="10" borderId="0" xfId="0" applyFont="1" applyFill="1" applyAlignment="1">
      <alignment horizontal="center" wrapText="1"/>
    </xf>
    <xf numFmtId="1" fontId="2" fillId="10" borderId="0" xfId="0" applyNumberFormat="1" applyFont="1" applyFill="1" applyAlignment="1">
      <alignment horizontal="center" wrapText="1"/>
    </xf>
    <xf numFmtId="0" fontId="52" fillId="0" borderId="0" xfId="0" applyFont="1"/>
    <xf numFmtId="0" fontId="63" fillId="4" borderId="0" xfId="4" applyFont="1" applyFill="1"/>
    <xf numFmtId="0" fontId="4" fillId="10" borderId="0" xfId="4" applyFill="1" applyAlignment="1">
      <alignment wrapText="1"/>
    </xf>
    <xf numFmtId="0" fontId="64" fillId="12" borderId="9" xfId="17" applyFont="1" applyFill="1" applyBorder="1" applyAlignment="1">
      <alignment horizontal="left" vertical="top" wrapText="1"/>
    </xf>
    <xf numFmtId="0" fontId="64" fillId="0" borderId="0" xfId="17" applyFont="1" applyAlignment="1">
      <alignment horizontal="left" vertical="top"/>
    </xf>
    <xf numFmtId="0" fontId="66" fillId="4" borderId="0" xfId="17" applyFont="1" applyFill="1" applyAlignment="1">
      <alignment horizontal="left" vertical="top" wrapText="1"/>
    </xf>
    <xf numFmtId="0" fontId="67" fillId="0" borderId="0" xfId="0" applyFont="1"/>
    <xf numFmtId="0" fontId="68" fillId="0" borderId="0" xfId="0" applyFont="1"/>
    <xf numFmtId="0" fontId="68" fillId="0" borderId="0" xfId="0" applyFont="1" applyAlignment="1">
      <alignment wrapText="1"/>
    </xf>
    <xf numFmtId="0" fontId="68" fillId="0" borderId="0" xfId="0" applyFont="1" applyAlignment="1">
      <alignment horizontal="left" wrapText="1"/>
    </xf>
    <xf numFmtId="0" fontId="66" fillId="0" borderId="0" xfId="17" applyFont="1" applyAlignment="1">
      <alignment horizontal="left"/>
    </xf>
    <xf numFmtId="0" fontId="68" fillId="0" borderId="9" xfId="0" applyFont="1" applyBorder="1"/>
    <xf numFmtId="0" fontId="66" fillId="0" borderId="9" xfId="17" applyFont="1" applyBorder="1" applyAlignment="1">
      <alignment horizontal="left"/>
    </xf>
    <xf numFmtId="0" fontId="67" fillId="0" borderId="9" xfId="0" applyFont="1" applyBorder="1"/>
    <xf numFmtId="0" fontId="67" fillId="0" borderId="10" xfId="0" applyFont="1" applyBorder="1"/>
    <xf numFmtId="0" fontId="68" fillId="0" borderId="10" xfId="0" applyFont="1" applyBorder="1" applyAlignment="1">
      <alignment horizontal="left"/>
    </xf>
    <xf numFmtId="0" fontId="68" fillId="0" borderId="0" xfId="0" applyFont="1" applyAlignment="1">
      <alignment horizontal="left"/>
    </xf>
    <xf numFmtId="0" fontId="69" fillId="4" borderId="0" xfId="18" applyFont="1" applyFill="1"/>
    <xf numFmtId="0" fontId="25" fillId="0" borderId="0" xfId="18" applyFont="1"/>
    <xf numFmtId="0" fontId="2" fillId="4" borderId="0" xfId="18" applyFont="1" applyFill="1"/>
    <xf numFmtId="0" fontId="1" fillId="4" borderId="0" xfId="18" applyFont="1" applyFill="1"/>
    <xf numFmtId="0" fontId="1" fillId="4" borderId="0" xfId="18" applyFont="1" applyFill="1" applyAlignment="1">
      <alignment horizontal="left"/>
    </xf>
    <xf numFmtId="0" fontId="1" fillId="0" borderId="0" xfId="18" applyFont="1" applyAlignment="1">
      <alignment horizontal="left"/>
    </xf>
    <xf numFmtId="0" fontId="19" fillId="4" borderId="0" xfId="18" applyFont="1" applyFill="1" applyAlignment="1">
      <alignment horizontal="left"/>
    </xf>
    <xf numFmtId="0" fontId="19" fillId="4" borderId="0" xfId="18" applyFont="1" applyFill="1"/>
    <xf numFmtId="0" fontId="38" fillId="4" borderId="0" xfId="18" applyFont="1" applyFill="1" applyAlignment="1">
      <alignment horizontal="left"/>
    </xf>
    <xf numFmtId="0" fontId="38" fillId="0" borderId="0" xfId="18" applyFont="1" applyAlignment="1">
      <alignment horizontal="center"/>
    </xf>
    <xf numFmtId="0" fontId="4" fillId="4" borderId="0" xfId="18" applyFont="1" applyFill="1"/>
    <xf numFmtId="0" fontId="30" fillId="4" borderId="0" xfId="18" applyFont="1" applyFill="1" applyAlignment="1">
      <alignment horizontal="center"/>
    </xf>
    <xf numFmtId="0" fontId="30" fillId="4" borderId="24" xfId="18" applyFont="1" applyFill="1" applyBorder="1"/>
    <xf numFmtId="0" fontId="2" fillId="0" borderId="0" xfId="18" applyFont="1" applyAlignment="1">
      <alignment horizontal="center"/>
    </xf>
    <xf numFmtId="0" fontId="34" fillId="4" borderId="0" xfId="18" applyFont="1" applyFill="1" applyAlignment="1">
      <alignment horizontal="left"/>
    </xf>
    <xf numFmtId="0" fontId="30" fillId="4" borderId="0" xfId="18" applyFont="1" applyFill="1"/>
    <xf numFmtId="0" fontId="30" fillId="4" borderId="0" xfId="18" applyFont="1" applyFill="1" applyAlignment="1">
      <alignment horizontal="center" vertical="center"/>
    </xf>
    <xf numFmtId="0" fontId="30" fillId="4" borderId="0" xfId="18" applyFont="1" applyFill="1" applyAlignment="1">
      <alignment horizontal="center" wrapText="1"/>
    </xf>
    <xf numFmtId="0" fontId="2" fillId="4" borderId="0" xfId="18" applyFont="1" applyFill="1" applyAlignment="1">
      <alignment horizontal="center" vertical="center" wrapText="1"/>
    </xf>
    <xf numFmtId="0" fontId="2" fillId="0" borderId="0" xfId="18" applyFont="1" applyAlignment="1">
      <alignment horizontal="center" vertical="center" wrapText="1"/>
    </xf>
    <xf numFmtId="0" fontId="19" fillId="4" borderId="0" xfId="18" applyFont="1" applyFill="1" applyAlignment="1">
      <alignment horizontal="center" wrapText="1"/>
    </xf>
    <xf numFmtId="0" fontId="38" fillId="8" borderId="0" xfId="18" applyFont="1" applyFill="1"/>
    <xf numFmtId="0" fontId="30" fillId="4" borderId="10" xfId="18" applyFont="1" applyFill="1" applyBorder="1" applyAlignment="1">
      <alignment horizontal="center"/>
    </xf>
    <xf numFmtId="0" fontId="34" fillId="4" borderId="0" xfId="18" applyFont="1" applyFill="1" applyAlignment="1">
      <alignment horizontal="left" vertical="center" wrapText="1"/>
    </xf>
    <xf numFmtId="0" fontId="12" fillId="8" borderId="0" xfId="18" applyFont="1" applyFill="1"/>
    <xf numFmtId="0" fontId="69" fillId="13" borderId="0" xfId="18" applyFont="1" applyFill="1"/>
    <xf numFmtId="0" fontId="69" fillId="7" borderId="0" xfId="18" applyFont="1" applyFill="1"/>
    <xf numFmtId="0" fontId="12" fillId="8" borderId="10" xfId="18" applyFont="1" applyFill="1" applyBorder="1"/>
    <xf numFmtId="0" fontId="12" fillId="8" borderId="10" xfId="18" applyFont="1" applyFill="1" applyBorder="1" applyAlignment="1">
      <alignment horizontal="center"/>
    </xf>
    <xf numFmtId="164" fontId="12" fillId="8" borderId="10" xfId="18" applyNumberFormat="1" applyFont="1" applyFill="1" applyBorder="1" applyAlignment="1">
      <alignment horizontal="center"/>
    </xf>
    <xf numFmtId="164" fontId="73" fillId="8" borderId="0" xfId="18" applyNumberFormat="1" applyFont="1" applyFill="1" applyAlignment="1">
      <alignment horizontal="center"/>
    </xf>
    <xf numFmtId="164" fontId="12" fillId="8" borderId="0" xfId="18" applyNumberFormat="1" applyFont="1" applyFill="1" applyAlignment="1">
      <alignment horizontal="center"/>
    </xf>
    <xf numFmtId="0" fontId="1" fillId="0" borderId="0" xfId="18" applyFont="1" applyAlignment="1">
      <alignment horizontal="center"/>
    </xf>
    <xf numFmtId="0" fontId="19" fillId="14" borderId="0" xfId="18" applyFont="1" applyFill="1" applyAlignment="1">
      <alignment horizontal="left"/>
    </xf>
    <xf numFmtId="0" fontId="19" fillId="4" borderId="25" xfId="18" applyFont="1" applyFill="1" applyBorder="1"/>
    <xf numFmtId="0" fontId="12" fillId="4" borderId="0" xfId="18" applyFont="1" applyFill="1"/>
    <xf numFmtId="0" fontId="12" fillId="4" borderId="0" xfId="18" applyFont="1" applyFill="1" applyAlignment="1">
      <alignment horizontal="center"/>
    </xf>
    <xf numFmtId="164" fontId="12" fillId="4" borderId="0" xfId="18" applyNumberFormat="1" applyFont="1" applyFill="1" applyAlignment="1">
      <alignment horizontal="center"/>
    </xf>
    <xf numFmtId="164" fontId="73" fillId="4" borderId="0" xfId="18" applyNumberFormat="1" applyFont="1" applyFill="1" applyAlignment="1">
      <alignment horizontal="center"/>
    </xf>
    <xf numFmtId="0" fontId="74" fillId="4" borderId="0" xfId="18" applyFont="1" applyFill="1"/>
    <xf numFmtId="0" fontId="19" fillId="4" borderId="25" xfId="18" applyFont="1" applyFill="1" applyBorder="1" applyAlignment="1">
      <alignment horizontal="left"/>
    </xf>
    <xf numFmtId="0" fontId="34" fillId="15" borderId="0" xfId="18" applyFont="1" applyFill="1" applyAlignment="1">
      <alignment horizontal="left"/>
    </xf>
    <xf numFmtId="0" fontId="25" fillId="0" borderId="0" xfId="18" applyFont="1" applyAlignment="1">
      <alignment horizontal="center"/>
    </xf>
    <xf numFmtId="0" fontId="12" fillId="8" borderId="0" xfId="18" applyFont="1" applyFill="1" applyAlignment="1">
      <alignment horizontal="center"/>
    </xf>
    <xf numFmtId="0" fontId="12" fillId="8" borderId="9" xfId="18" applyFont="1" applyFill="1" applyBorder="1"/>
    <xf numFmtId="0" fontId="12" fillId="8" borderId="9" xfId="18" applyFont="1" applyFill="1" applyBorder="1" applyAlignment="1">
      <alignment horizontal="center"/>
    </xf>
    <xf numFmtId="164" fontId="12" fillId="8" borderId="9" xfId="18" applyNumberFormat="1" applyFont="1" applyFill="1" applyBorder="1" applyAlignment="1">
      <alignment horizontal="center"/>
    </xf>
    <xf numFmtId="164" fontId="12" fillId="4" borderId="9" xfId="18" applyNumberFormat="1" applyFont="1" applyFill="1" applyBorder="1" applyAlignment="1">
      <alignment horizontal="center"/>
    </xf>
    <xf numFmtId="164" fontId="73" fillId="8" borderId="9" xfId="18" applyNumberFormat="1" applyFont="1" applyFill="1" applyBorder="1" applyAlignment="1">
      <alignment horizontal="center"/>
    </xf>
    <xf numFmtId="0" fontId="19" fillId="4" borderId="0" xfId="18" applyFont="1" applyFill="1" applyAlignment="1">
      <alignment horizontal="left" vertical="top" wrapText="1"/>
    </xf>
    <xf numFmtId="0" fontId="1" fillId="0" borderId="0" xfId="18" applyFont="1" applyAlignment="1">
      <alignment horizontal="left" vertical="top" wrapText="1"/>
    </xf>
    <xf numFmtId="0" fontId="19" fillId="4" borderId="0" xfId="18" applyFont="1" applyFill="1" applyAlignment="1">
      <alignment horizontal="left" wrapText="1"/>
    </xf>
    <xf numFmtId="0" fontId="1" fillId="4" borderId="0" xfId="18" applyFont="1" applyFill="1" applyAlignment="1">
      <alignment horizontal="center"/>
    </xf>
    <xf numFmtId="0" fontId="25" fillId="4" borderId="0" xfId="18" applyFont="1" applyFill="1" applyAlignment="1">
      <alignment horizontal="center"/>
    </xf>
    <xf numFmtId="0" fontId="25" fillId="4" borderId="0" xfId="18" applyFont="1" applyFill="1" applyAlignment="1">
      <alignment horizontal="left"/>
    </xf>
    <xf numFmtId="0" fontId="25" fillId="4" borderId="0" xfId="18" applyFont="1" applyFill="1"/>
    <xf numFmtId="0" fontId="70" fillId="4" borderId="9" xfId="18" applyFont="1" applyFill="1" applyBorder="1" applyAlignment="1">
      <alignment horizontal="left"/>
    </xf>
    <xf numFmtId="0" fontId="38" fillId="4" borderId="9" xfId="18" applyFont="1" applyFill="1" applyBorder="1" applyAlignment="1">
      <alignment horizontal="left"/>
    </xf>
    <xf numFmtId="0" fontId="77" fillId="4" borderId="0" xfId="18" applyFont="1" applyFill="1" applyAlignment="1">
      <alignment horizontal="center"/>
    </xf>
    <xf numFmtId="0" fontId="73" fillId="4" borderId="0" xfId="18" applyFont="1" applyFill="1"/>
    <xf numFmtId="0" fontId="78" fillId="4" borderId="24" xfId="18" applyFont="1" applyFill="1" applyBorder="1"/>
    <xf numFmtId="0" fontId="77" fillId="4" borderId="0" xfId="18" applyFont="1" applyFill="1" applyAlignment="1">
      <alignment horizontal="left"/>
    </xf>
    <xf numFmtId="0" fontId="78" fillId="4" borderId="0" xfId="18" applyFont="1" applyFill="1"/>
    <xf numFmtId="0" fontId="77" fillId="4" borderId="0" xfId="18" applyFont="1" applyFill="1" applyAlignment="1">
      <alignment horizontal="center" vertical="center" wrapText="1"/>
    </xf>
    <xf numFmtId="0" fontId="25" fillId="4" borderId="0" xfId="18" applyFont="1" applyFill="1" applyAlignment="1">
      <alignment horizontal="center" wrapText="1"/>
    </xf>
    <xf numFmtId="0" fontId="77" fillId="4" borderId="0" xfId="18" applyFont="1" applyFill="1" applyAlignment="1">
      <alignment horizontal="left" vertical="center" wrapText="1"/>
    </xf>
    <xf numFmtId="0" fontId="23" fillId="8" borderId="0" xfId="18" applyFont="1" applyFill="1"/>
    <xf numFmtId="0" fontId="12" fillId="4" borderId="10" xfId="18" applyFont="1" applyFill="1" applyBorder="1"/>
    <xf numFmtId="0" fontId="12" fillId="4" borderId="10" xfId="18" applyFont="1" applyFill="1" applyBorder="1" applyAlignment="1">
      <alignment horizontal="center"/>
    </xf>
    <xf numFmtId="164" fontId="12" fillId="4" borderId="10" xfId="18" applyNumberFormat="1" applyFont="1" applyFill="1" applyBorder="1" applyAlignment="1">
      <alignment horizontal="center"/>
    </xf>
    <xf numFmtId="0" fontId="77" fillId="8" borderId="0" xfId="18" applyFont="1" applyFill="1" applyAlignment="1">
      <alignment horizontal="center" vertical="center" wrapText="1"/>
    </xf>
    <xf numFmtId="0" fontId="25" fillId="4" borderId="25" xfId="18" applyFont="1" applyFill="1" applyBorder="1"/>
    <xf numFmtId="0" fontId="19" fillId="13" borderId="0" xfId="18" applyFont="1" applyFill="1"/>
    <xf numFmtId="0" fontId="19" fillId="7" borderId="0" xfId="18" applyFont="1" applyFill="1"/>
    <xf numFmtId="0" fontId="77" fillId="16" borderId="0" xfId="18" applyFont="1" applyFill="1" applyAlignment="1">
      <alignment horizontal="center" vertical="center" wrapText="1"/>
    </xf>
    <xf numFmtId="0" fontId="77" fillId="4" borderId="25" xfId="18" applyFont="1" applyFill="1" applyBorder="1"/>
    <xf numFmtId="0" fontId="80" fillId="0" borderId="0" xfId="18" applyFont="1" applyAlignment="1">
      <alignment horizontal="center" vertical="center" wrapText="1"/>
    </xf>
    <xf numFmtId="0" fontId="19" fillId="8" borderId="0" xfId="18" applyFont="1" applyFill="1"/>
    <xf numFmtId="0" fontId="69" fillId="0" borderId="0" xfId="18" applyFont="1"/>
    <xf numFmtId="0" fontId="12" fillId="0" borderId="0" xfId="18" applyFont="1"/>
    <xf numFmtId="0" fontId="12" fillId="0" borderId="0" xfId="18" applyFont="1" applyAlignment="1">
      <alignment horizontal="center"/>
    </xf>
    <xf numFmtId="164" fontId="12" fillId="0" borderId="0" xfId="18" applyNumberFormat="1" applyFont="1" applyAlignment="1">
      <alignment horizontal="center"/>
    </xf>
    <xf numFmtId="0" fontId="25" fillId="4" borderId="25" xfId="18" applyFont="1" applyFill="1" applyBorder="1" applyAlignment="1">
      <alignment horizontal="left"/>
    </xf>
    <xf numFmtId="0" fontId="25" fillId="4" borderId="0" xfId="18" applyFont="1" applyFill="1" applyAlignment="1">
      <alignment horizontal="left" vertical="top" wrapText="1"/>
    </xf>
    <xf numFmtId="0" fontId="17" fillId="4" borderId="0" xfId="18" applyFont="1" applyFill="1" applyAlignment="1">
      <alignment vertical="top" wrapText="1"/>
    </xf>
    <xf numFmtId="0" fontId="4" fillId="4" borderId="0" xfId="18" applyFont="1" applyFill="1" applyAlignment="1">
      <alignment horizontal="center"/>
    </xf>
    <xf numFmtId="0" fontId="38" fillId="4" borderId="0" xfId="18" applyFont="1" applyFill="1" applyAlignment="1">
      <alignment horizontal="center"/>
    </xf>
    <xf numFmtId="0" fontId="2" fillId="4" borderId="0" xfId="18" applyFont="1" applyFill="1" applyAlignment="1">
      <alignment horizontal="center"/>
    </xf>
    <xf numFmtId="0" fontId="30" fillId="4" borderId="0" xfId="18" applyFont="1" applyFill="1" applyAlignment="1">
      <alignment horizontal="center" vertical="center" wrapText="1"/>
    </xf>
    <xf numFmtId="0" fontId="25" fillId="4" borderId="0" xfId="18" applyFont="1" applyFill="1" applyAlignment="1">
      <alignment horizontal="center" vertical="center" wrapText="1"/>
    </xf>
    <xf numFmtId="0" fontId="20" fillId="8" borderId="0" xfId="18" applyFont="1" applyFill="1"/>
    <xf numFmtId="0" fontId="1" fillId="4" borderId="0" xfId="19" applyFill="1"/>
    <xf numFmtId="0" fontId="69" fillId="8" borderId="0" xfId="18" applyFont="1" applyFill="1"/>
    <xf numFmtId="0" fontId="1" fillId="4" borderId="0" xfId="20" applyFont="1" applyFill="1" applyAlignment="1">
      <alignment horizontal="left"/>
    </xf>
    <xf numFmtId="0" fontId="1" fillId="4" borderId="0" xfId="21" applyFont="1" applyFill="1"/>
    <xf numFmtId="14" fontId="34" fillId="8" borderId="0" xfId="18" applyNumberFormat="1" applyFont="1" applyFill="1" applyAlignment="1">
      <alignment horizontal="center"/>
    </xf>
    <xf numFmtId="0" fontId="1" fillId="0" borderId="0" xfId="19"/>
    <xf numFmtId="0" fontId="12" fillId="4" borderId="9" xfId="18" applyFont="1" applyFill="1" applyBorder="1"/>
    <xf numFmtId="0" fontId="12" fillId="4" borderId="9" xfId="18" applyFont="1" applyFill="1" applyBorder="1" applyAlignment="1">
      <alignment horizontal="center"/>
    </xf>
    <xf numFmtId="0" fontId="12" fillId="4" borderId="0" xfId="18" applyFont="1" applyFill="1" applyAlignment="1">
      <alignment horizontal="left" vertical="top" wrapText="1"/>
    </xf>
    <xf numFmtId="0" fontId="1" fillId="4" borderId="0" xfId="18" applyFont="1" applyFill="1" applyAlignment="1">
      <alignment horizontal="left" vertical="top" wrapText="1"/>
    </xf>
    <xf numFmtId="0" fontId="25" fillId="4" borderId="0" xfId="18" applyFont="1" applyFill="1" applyAlignment="1">
      <alignment horizontal="center" vertical="top" wrapText="1"/>
    </xf>
    <xf numFmtId="0" fontId="12" fillId="4" borderId="0" xfId="18" applyFont="1" applyFill="1" applyAlignment="1">
      <alignment horizontal="left" wrapText="1"/>
    </xf>
    <xf numFmtId="0" fontId="17" fillId="4" borderId="0" xfId="18" applyFont="1" applyFill="1"/>
    <xf numFmtId="0" fontId="12" fillId="4" borderId="0" xfId="18" applyFont="1" applyFill="1" applyAlignment="1">
      <alignment horizontal="left"/>
    </xf>
    <xf numFmtId="0" fontId="4" fillId="4" borderId="0" xfId="18" applyFont="1" applyFill="1" applyAlignment="1">
      <alignment horizontal="left"/>
    </xf>
    <xf numFmtId="0" fontId="19" fillId="4" borderId="0" xfId="6" applyFont="1" applyFill="1"/>
    <xf numFmtId="0" fontId="19" fillId="4" borderId="0" xfId="6" applyFont="1" applyFill="1" applyAlignment="1">
      <alignment horizontal="right"/>
    </xf>
    <xf numFmtId="0" fontId="70" fillId="4" borderId="0" xfId="6" applyFont="1" applyFill="1" applyAlignment="1">
      <alignment wrapText="1"/>
    </xf>
    <xf numFmtId="0" fontId="82" fillId="4" borderId="9" xfId="6" applyFont="1" applyFill="1" applyBorder="1" applyAlignment="1">
      <alignment horizontal="left" vertical="top"/>
    </xf>
    <xf numFmtId="0" fontId="83" fillId="4" borderId="9" xfId="6" applyFont="1" applyFill="1" applyBorder="1" applyAlignment="1">
      <alignment horizontal="left" vertical="center" wrapText="1"/>
    </xf>
    <xf numFmtId="0" fontId="83" fillId="4" borderId="0" xfId="6" applyFont="1" applyFill="1" applyAlignment="1">
      <alignment horizontal="right" vertical="center" wrapText="1"/>
    </xf>
    <xf numFmtId="0" fontId="12" fillId="4" borderId="24" xfId="6" applyFont="1" applyFill="1" applyBorder="1"/>
    <xf numFmtId="0" fontId="12" fillId="4" borderId="24" xfId="6" applyFont="1" applyFill="1" applyBorder="1" applyAlignment="1">
      <alignment horizontal="right"/>
    </xf>
    <xf numFmtId="0" fontId="12" fillId="5" borderId="0" xfId="6" applyFont="1" applyFill="1"/>
    <xf numFmtId="0" fontId="15" fillId="5" borderId="0" xfId="6" applyFont="1" applyFill="1" applyAlignment="1">
      <alignment horizontal="left" indent="1"/>
    </xf>
    <xf numFmtId="164" fontId="12" fillId="5" borderId="0" xfId="6" applyNumberFormat="1" applyFont="1" applyFill="1" applyAlignment="1">
      <alignment horizontal="right"/>
    </xf>
    <xf numFmtId="0" fontId="12" fillId="5" borderId="0" xfId="6" applyFont="1" applyFill="1" applyAlignment="1">
      <alignment horizontal="left" indent="1"/>
    </xf>
    <xf numFmtId="0" fontId="15" fillId="5" borderId="0" xfId="6" applyFont="1" applyFill="1" applyAlignment="1">
      <alignment horizontal="left" indent="2"/>
    </xf>
    <xf numFmtId="0" fontId="12" fillId="4" borderId="0" xfId="6" applyFont="1" applyFill="1"/>
    <xf numFmtId="164" fontId="12" fillId="4" borderId="0" xfId="6" applyNumberFormat="1" applyFont="1" applyFill="1" applyAlignment="1">
      <alignment horizontal="right"/>
    </xf>
    <xf numFmtId="0" fontId="12" fillId="4" borderId="9" xfId="6" applyFont="1" applyFill="1" applyBorder="1"/>
    <xf numFmtId="164" fontId="12" fillId="4" borderId="9" xfId="6" applyNumberFormat="1" applyFont="1" applyFill="1" applyBorder="1" applyAlignment="1">
      <alignment horizontal="right"/>
    </xf>
    <xf numFmtId="0" fontId="12" fillId="4" borderId="0" xfId="6" applyFont="1" applyFill="1" applyAlignment="1">
      <alignment horizontal="right" wrapText="1"/>
    </xf>
    <xf numFmtId="0" fontId="12" fillId="4" borderId="0" xfId="6" applyFont="1" applyFill="1" applyAlignment="1">
      <alignment horizontal="right"/>
    </xf>
    <xf numFmtId="0" fontId="83" fillId="4" borderId="9" xfId="6" applyFont="1" applyFill="1" applyBorder="1" applyAlignment="1">
      <alignment horizontal="right" vertical="center" wrapText="1"/>
    </xf>
    <xf numFmtId="0" fontId="84" fillId="0" borderId="0" xfId="6" applyFont="1"/>
    <xf numFmtId="0" fontId="19" fillId="0" borderId="0" xfId="6" applyFont="1"/>
    <xf numFmtId="0" fontId="12" fillId="4" borderId="0" xfId="6" applyFont="1" applyFill="1" applyAlignment="1">
      <alignment horizontal="left" indent="1"/>
    </xf>
    <xf numFmtId="0" fontId="17" fillId="4" borderId="0" xfId="6" applyFont="1" applyFill="1" applyAlignment="1">
      <alignment vertical="top"/>
    </xf>
    <xf numFmtId="0" fontId="17" fillId="4" borderId="0" xfId="6" applyFont="1" applyFill="1" applyAlignment="1">
      <alignment vertical="top" wrapText="1"/>
    </xf>
    <xf numFmtId="0" fontId="19" fillId="8" borderId="0" xfId="6" applyFont="1" applyFill="1"/>
    <xf numFmtId="0" fontId="82" fillId="4" borderId="9" xfId="6" applyFont="1" applyFill="1" applyBorder="1" applyAlignment="1">
      <alignment vertical="top"/>
    </xf>
    <xf numFmtId="0" fontId="85" fillId="4" borderId="0" xfId="6" applyFont="1" applyFill="1" applyAlignment="1">
      <alignment horizontal="right"/>
    </xf>
    <xf numFmtId="0" fontId="12" fillId="4" borderId="0" xfId="6" applyFont="1" applyFill="1" applyAlignment="1">
      <alignment horizontal="right" vertical="top"/>
    </xf>
    <xf numFmtId="0" fontId="12" fillId="4" borderId="0" xfId="6" applyFont="1" applyFill="1" applyAlignment="1">
      <alignment horizontal="left" vertical="top" wrapText="1"/>
    </xf>
    <xf numFmtId="0" fontId="12" fillId="4" borderId="0" xfId="6" applyFont="1" applyFill="1" applyAlignment="1">
      <alignment vertical="top"/>
    </xf>
    <xf numFmtId="0" fontId="85" fillId="4" borderId="9" xfId="6" applyFont="1" applyFill="1" applyBorder="1" applyAlignment="1">
      <alignment horizontal="right"/>
    </xf>
    <xf numFmtId="0" fontId="12" fillId="0" borderId="0" xfId="6" applyFont="1"/>
    <xf numFmtId="0" fontId="17" fillId="4" borderId="0" xfId="6" applyFont="1" applyFill="1" applyAlignment="1">
      <alignment horizontal="left" vertical="top" wrapText="1"/>
    </xf>
    <xf numFmtId="0" fontId="70" fillId="4" borderId="0" xfId="6" applyFont="1" applyFill="1" applyAlignment="1">
      <alignment vertical="center" wrapText="1"/>
    </xf>
    <xf numFmtId="0" fontId="82" fillId="4" borderId="9" xfId="6" applyFont="1" applyFill="1" applyBorder="1" applyAlignment="1">
      <alignment horizontal="left" vertical="center"/>
    </xf>
    <xf numFmtId="0" fontId="19" fillId="4" borderId="0" xfId="6" applyFont="1" applyFill="1" applyAlignment="1">
      <alignment vertical="top" wrapText="1"/>
    </xf>
    <xf numFmtId="0" fontId="12" fillId="4" borderId="0" xfId="6" applyFont="1" applyFill="1" applyAlignment="1">
      <alignment horizontal="left"/>
    </xf>
    <xf numFmtId="0" fontId="84" fillId="4" borderId="0" xfId="6" applyFont="1" applyFill="1"/>
    <xf numFmtId="0" fontId="86" fillId="4" borderId="0" xfId="6" applyFont="1" applyFill="1"/>
    <xf numFmtId="0" fontId="20" fillId="5" borderId="0" xfId="6" applyFont="1" applyFill="1"/>
    <xf numFmtId="0" fontId="12" fillId="5" borderId="0" xfId="4" applyFont="1" applyFill="1" applyAlignment="1">
      <alignment horizontal="left" indent="2"/>
    </xf>
    <xf numFmtId="0" fontId="12" fillId="5" borderId="0" xfId="6" applyFont="1" applyFill="1" applyAlignment="1">
      <alignment horizontal="left" indent="2"/>
    </xf>
    <xf numFmtId="0" fontId="20" fillId="4" borderId="0" xfId="6" applyFont="1" applyFill="1"/>
    <xf numFmtId="0" fontId="12" fillId="4" borderId="0" xfId="6" applyFont="1" applyFill="1" applyAlignment="1">
      <alignment horizontal="left" vertical="center" wrapText="1"/>
    </xf>
    <xf numFmtId="0" fontId="18" fillId="4" borderId="0" xfId="6" applyFill="1"/>
    <xf numFmtId="0" fontId="89" fillId="4" borderId="0" xfId="6" applyFont="1" applyFill="1"/>
    <xf numFmtId="0" fontId="18" fillId="4" borderId="0" xfId="6" applyFill="1" applyAlignment="1">
      <alignment horizontal="right"/>
    </xf>
    <xf numFmtId="164" fontId="18" fillId="4" borderId="0" xfId="6" applyNumberFormat="1" applyFill="1"/>
    <xf numFmtId="164" fontId="21" fillId="4" borderId="0" xfId="6" applyNumberFormat="1" applyFont="1" applyFill="1" applyAlignment="1">
      <alignment horizontal="right"/>
    </xf>
    <xf numFmtId="0" fontId="70" fillId="4" borderId="0" xfId="6" applyFont="1" applyFill="1" applyAlignment="1">
      <alignment vertical="center"/>
    </xf>
    <xf numFmtId="0" fontId="38" fillId="4" borderId="0" xfId="6" applyFont="1" applyFill="1" applyAlignment="1">
      <alignment vertical="center" wrapText="1"/>
    </xf>
    <xf numFmtId="0" fontId="19" fillId="4" borderId="24" xfId="6" applyFont="1" applyFill="1" applyBorder="1" applyAlignment="1">
      <alignment horizontal="right"/>
    </xf>
    <xf numFmtId="164" fontId="19" fillId="5" borderId="0" xfId="6" applyNumberFormat="1" applyFont="1" applyFill="1" applyAlignment="1">
      <alignment horizontal="right"/>
    </xf>
    <xf numFmtId="164" fontId="19" fillId="4" borderId="0" xfId="6" applyNumberFormat="1" applyFont="1" applyFill="1" applyAlignment="1">
      <alignment horizontal="right"/>
    </xf>
    <xf numFmtId="164" fontId="19" fillId="4" borderId="9" xfId="6" applyNumberFormat="1" applyFont="1" applyFill="1" applyBorder="1" applyAlignment="1">
      <alignment horizontal="right"/>
    </xf>
    <xf numFmtId="0" fontId="19" fillId="4" borderId="0" xfId="6" applyFont="1" applyFill="1" applyAlignment="1">
      <alignment horizontal="right" wrapText="1"/>
    </xf>
    <xf numFmtId="0" fontId="12" fillId="4" borderId="0" xfId="6" applyFont="1" applyFill="1" applyAlignment="1">
      <alignment horizontal="left" wrapText="1"/>
    </xf>
    <xf numFmtId="0" fontId="19" fillId="4" borderId="0" xfId="6" applyFont="1" applyFill="1" applyAlignment="1">
      <alignment horizontal="left" vertical="center" wrapText="1"/>
    </xf>
    <xf numFmtId="0" fontId="20" fillId="4" borderId="0" xfId="6" applyFont="1" applyFill="1" applyAlignment="1">
      <alignment horizontal="right"/>
    </xf>
    <xf numFmtId="0" fontId="69" fillId="4" borderId="0" xfId="6" applyFont="1" applyFill="1"/>
    <xf numFmtId="164" fontId="19" fillId="4" borderId="0" xfId="6" applyNumberFormat="1" applyFont="1" applyFill="1"/>
    <xf numFmtId="166" fontId="18" fillId="4" borderId="0" xfId="6" applyNumberFormat="1" applyFill="1"/>
    <xf numFmtId="0" fontId="93" fillId="4" borderId="0" xfId="6" applyFont="1" applyFill="1" applyAlignment="1">
      <alignment vertical="center" wrapText="1"/>
    </xf>
    <xf numFmtId="0" fontId="18" fillId="8" borderId="0" xfId="6" applyFill="1"/>
    <xf numFmtId="0" fontId="21" fillId="0" borderId="0" xfId="6" applyFont="1"/>
    <xf numFmtId="172" fontId="1" fillId="4" borderId="0" xfId="22" applyFont="1" applyFill="1"/>
    <xf numFmtId="172" fontId="1" fillId="4" borderId="0" xfId="22" applyFont="1" applyFill="1" applyAlignment="1">
      <alignment vertical="top"/>
    </xf>
    <xf numFmtId="172" fontId="85" fillId="4" borderId="24" xfId="22" applyFont="1" applyFill="1" applyBorder="1"/>
    <xf numFmtId="172" fontId="12" fillId="4" borderId="24" xfId="22" applyFont="1" applyFill="1" applyBorder="1"/>
    <xf numFmtId="172" fontId="4" fillId="4" borderId="24" xfId="22" applyFont="1" applyFill="1" applyBorder="1" applyAlignment="1">
      <alignment horizontal="center" vertical="center" wrapText="1"/>
    </xf>
    <xf numFmtId="172" fontId="12" fillId="5" borderId="0" xfId="22" applyFont="1" applyFill="1" applyAlignment="1">
      <alignment horizontal="left"/>
    </xf>
    <xf numFmtId="172" fontId="15" fillId="5" borderId="0" xfId="22" applyFont="1" applyFill="1" applyAlignment="1">
      <alignment horizontal="left" indent="1"/>
    </xf>
    <xf numFmtId="164" fontId="12" fillId="5" borderId="0" xfId="22" applyNumberFormat="1" applyFont="1" applyFill="1" applyAlignment="1">
      <alignment horizontal="right" indent="3"/>
    </xf>
    <xf numFmtId="164" fontId="1" fillId="4" borderId="0" xfId="22" applyNumberFormat="1" applyFont="1" applyFill="1"/>
    <xf numFmtId="172" fontId="12" fillId="5" borderId="0" xfId="22" applyFont="1" applyFill="1" applyAlignment="1">
      <alignment horizontal="left" indent="1"/>
    </xf>
    <xf numFmtId="172" fontId="12" fillId="4" borderId="0" xfId="22" applyFont="1" applyFill="1" applyAlignment="1">
      <alignment horizontal="left"/>
    </xf>
    <xf numFmtId="164" fontId="12" fillId="4" borderId="0" xfId="22" applyNumberFormat="1" applyFont="1" applyFill="1" applyAlignment="1">
      <alignment horizontal="right" indent="3"/>
    </xf>
    <xf numFmtId="172" fontId="12" fillId="4" borderId="0" xfId="22" applyFont="1" applyFill="1"/>
    <xf numFmtId="172" fontId="86" fillId="8" borderId="0" xfId="22" applyFont="1" applyFill="1"/>
    <xf numFmtId="172" fontId="12" fillId="4" borderId="9" xfId="22" applyFont="1" applyFill="1" applyBorder="1"/>
    <xf numFmtId="164" fontId="12" fillId="4" borderId="9" xfId="22" applyNumberFormat="1" applyFont="1" applyFill="1" applyBorder="1" applyAlignment="1">
      <alignment horizontal="right" indent="3"/>
    </xf>
    <xf numFmtId="164" fontId="12" fillId="4" borderId="0" xfId="22" applyNumberFormat="1" applyFont="1" applyFill="1" applyAlignment="1">
      <alignment horizontal="right" indent="4"/>
    </xf>
    <xf numFmtId="172" fontId="1" fillId="4" borderId="0" xfId="22" applyFont="1" applyFill="1" applyAlignment="1">
      <alignment horizontal="center"/>
    </xf>
    <xf numFmtId="172" fontId="70" fillId="4" borderId="0" xfId="22" applyFont="1" applyFill="1" applyAlignment="1">
      <alignment horizontal="left" vertical="center"/>
    </xf>
    <xf numFmtId="172" fontId="93" fillId="4" borderId="0" xfId="22" applyFont="1" applyFill="1" applyAlignment="1">
      <alignment horizontal="left" vertical="center"/>
    </xf>
    <xf numFmtId="172" fontId="57" fillId="4" borderId="0" xfId="22" applyFont="1" applyFill="1"/>
    <xf numFmtId="172" fontId="82" fillId="4" borderId="9" xfId="22" applyFont="1" applyFill="1" applyBorder="1" applyAlignment="1">
      <alignment horizontal="left" vertical="top"/>
    </xf>
    <xf numFmtId="172" fontId="32" fillId="4" borderId="9" xfId="22" applyFont="1" applyFill="1" applyBorder="1" applyAlignment="1">
      <alignment horizontal="left" vertical="top"/>
    </xf>
    <xf numFmtId="172" fontId="30" fillId="4" borderId="24" xfId="22" applyFont="1" applyFill="1" applyBorder="1"/>
    <xf numFmtId="172" fontId="1" fillId="8" borderId="0" xfId="22" applyFont="1" applyFill="1"/>
    <xf numFmtId="172" fontId="86" fillId="4" borderId="0" xfId="22" applyFont="1" applyFill="1"/>
    <xf numFmtId="172" fontId="2" fillId="4" borderId="0" xfId="22" applyFont="1" applyFill="1"/>
    <xf numFmtId="172" fontId="12" fillId="4" borderId="0" xfId="22" applyFont="1" applyFill="1" applyAlignment="1">
      <alignment horizontal="left" indent="3"/>
    </xf>
    <xf numFmtId="172" fontId="12" fillId="5" borderId="10" xfId="22" applyFont="1" applyFill="1" applyBorder="1" applyAlignment="1">
      <alignment horizontal="left"/>
    </xf>
    <xf numFmtId="172" fontId="15" fillId="5" borderId="10" xfId="22" applyFont="1" applyFill="1" applyBorder="1" applyAlignment="1">
      <alignment horizontal="left" indent="1"/>
    </xf>
    <xf numFmtId="164" fontId="12" fillId="5" borderId="10" xfId="22" applyNumberFormat="1" applyFont="1" applyFill="1" applyBorder="1" applyAlignment="1">
      <alignment horizontal="right" indent="3"/>
    </xf>
    <xf numFmtId="172" fontId="19" fillId="4" borderId="0" xfId="22" applyFont="1" applyFill="1"/>
    <xf numFmtId="0" fontId="3" fillId="3" borderId="4" xfId="3" applyFill="1" applyBorder="1" applyAlignment="1" applyProtection="1">
      <alignment horizontal="left" vertical="top" wrapText="1"/>
    </xf>
    <xf numFmtId="0" fontId="3" fillId="3" borderId="0" xfId="3" applyFill="1" applyBorder="1" applyAlignment="1" applyProtection="1">
      <alignment horizontal="left" vertical="top" wrapText="1"/>
    </xf>
    <xf numFmtId="0" fontId="3" fillId="3" borderId="4" xfId="3" applyFill="1" applyBorder="1" applyAlignment="1" applyProtection="1">
      <alignment horizontal="left" vertical="top"/>
    </xf>
    <xf numFmtId="0" fontId="3" fillId="3" borderId="0" xfId="3" applyFill="1" applyBorder="1" applyAlignment="1" applyProtection="1">
      <alignment horizontal="left" vertical="top"/>
    </xf>
    <xf numFmtId="0" fontId="3" fillId="0" borderId="0" xfId="3" applyAlignment="1">
      <alignment horizontal="left" vertical="top" wrapText="1"/>
    </xf>
    <xf numFmtId="0" fontId="9" fillId="3" borderId="4" xfId="5" applyFont="1" applyFill="1" applyBorder="1" applyAlignment="1" applyProtection="1">
      <alignment horizontal="left" vertical="top" wrapText="1"/>
    </xf>
    <xf numFmtId="0" fontId="9" fillId="3" borderId="0" xfId="5" applyFont="1" applyFill="1" applyBorder="1" applyAlignment="1" applyProtection="1">
      <alignment horizontal="left" vertical="top" wrapText="1"/>
    </xf>
    <xf numFmtId="0" fontId="9" fillId="3" borderId="5" xfId="5" applyFont="1" applyFill="1" applyBorder="1" applyAlignment="1" applyProtection="1">
      <alignment horizontal="left" vertical="top" wrapText="1"/>
    </xf>
    <xf numFmtId="0" fontId="3" fillId="3" borderId="5" xfId="3" applyFill="1" applyBorder="1" applyAlignment="1" applyProtection="1">
      <alignment horizontal="left" vertical="top" wrapText="1"/>
    </xf>
    <xf numFmtId="0" fontId="6" fillId="3" borderId="4" xfId="4" applyFont="1" applyFill="1" applyBorder="1" applyAlignment="1">
      <alignment horizontal="center" vertical="top"/>
    </xf>
    <xf numFmtId="0" fontId="6" fillId="3" borderId="0" xfId="4" applyFont="1" applyFill="1" applyAlignment="1">
      <alignment horizontal="center" vertical="top"/>
    </xf>
    <xf numFmtId="0" fontId="6" fillId="3" borderId="5" xfId="4" applyFont="1" applyFill="1" applyBorder="1" applyAlignment="1">
      <alignment horizontal="center" vertical="top"/>
    </xf>
    <xf numFmtId="0" fontId="6" fillId="3" borderId="4" xfId="4" applyFont="1" applyFill="1" applyBorder="1" applyAlignment="1">
      <alignment horizontal="center" vertical="top" wrapText="1"/>
    </xf>
    <xf numFmtId="0" fontId="7" fillId="3" borderId="0" xfId="0" applyFont="1" applyFill="1" applyAlignment="1">
      <alignment vertical="top" wrapText="1"/>
    </xf>
    <xf numFmtId="0" fontId="7" fillId="3" borderId="5" xfId="0" applyFont="1" applyFill="1" applyBorder="1" applyAlignment="1">
      <alignment vertical="top" wrapText="1"/>
    </xf>
    <xf numFmtId="0" fontId="5" fillId="3" borderId="4" xfId="4" applyFont="1" applyFill="1" applyBorder="1" applyAlignment="1">
      <alignment horizontal="center" vertical="top"/>
    </xf>
    <xf numFmtId="0" fontId="5" fillId="3" borderId="0" xfId="4" applyFont="1" applyFill="1" applyAlignment="1">
      <alignment horizontal="center" vertical="top"/>
    </xf>
    <xf numFmtId="0" fontId="5" fillId="3" borderId="5" xfId="4" applyFont="1" applyFill="1" applyBorder="1" applyAlignment="1">
      <alignment horizontal="center" vertical="top"/>
    </xf>
    <xf numFmtId="0" fontId="5" fillId="3" borderId="4" xfId="4" applyFont="1" applyFill="1" applyBorder="1" applyAlignment="1">
      <alignment horizontal="left" vertical="top" wrapText="1"/>
    </xf>
    <xf numFmtId="0" fontId="5" fillId="3" borderId="0" xfId="4" applyFont="1" applyFill="1" applyAlignment="1">
      <alignment horizontal="left" vertical="top" wrapText="1"/>
    </xf>
    <xf numFmtId="0" fontId="5" fillId="3" borderId="5" xfId="4" applyFont="1" applyFill="1" applyBorder="1" applyAlignment="1">
      <alignment horizontal="left" vertical="top" wrapText="1"/>
    </xf>
    <xf numFmtId="0" fontId="7" fillId="3" borderId="4" xfId="5" applyFont="1" applyFill="1" applyBorder="1" applyAlignment="1" applyProtection="1">
      <alignment horizontal="right"/>
    </xf>
    <xf numFmtId="0" fontId="7" fillId="3" borderId="0" xfId="5" applyFont="1" applyFill="1" applyBorder="1" applyAlignment="1" applyProtection="1">
      <alignment horizontal="right"/>
    </xf>
    <xf numFmtId="0" fontId="6" fillId="3" borderId="4" xfId="4" applyFont="1" applyFill="1" applyBorder="1" applyAlignment="1">
      <alignment horizontal="center"/>
    </xf>
    <xf numFmtId="0" fontId="6" fillId="3" borderId="0" xfId="4" applyFont="1" applyFill="1" applyAlignment="1">
      <alignment horizontal="center"/>
    </xf>
    <xf numFmtId="0" fontId="6" fillId="3" borderId="5" xfId="4" applyFont="1" applyFill="1" applyBorder="1" applyAlignment="1">
      <alignment horizontal="center"/>
    </xf>
    <xf numFmtId="0" fontId="5" fillId="3" borderId="4" xfId="4" applyFont="1" applyFill="1" applyBorder="1" applyAlignment="1">
      <alignment horizontal="center" wrapText="1"/>
    </xf>
    <xf numFmtId="0" fontId="6" fillId="3" borderId="0" xfId="4" applyFont="1" applyFill="1" applyAlignment="1">
      <alignment horizontal="center" wrapText="1"/>
    </xf>
    <xf numFmtId="0" fontId="6" fillId="3" borderId="5" xfId="4" applyFont="1" applyFill="1" applyBorder="1" applyAlignment="1">
      <alignment horizontal="center" wrapText="1"/>
    </xf>
    <xf numFmtId="0" fontId="5" fillId="3" borderId="4" xfId="4" applyFont="1" applyFill="1" applyBorder="1" applyAlignment="1">
      <alignment horizontal="left" vertical="top" wrapText="1" indent="1"/>
    </xf>
    <xf numFmtId="0" fontId="5" fillId="3" borderId="0" xfId="4" applyFont="1" applyFill="1" applyAlignment="1">
      <alignment horizontal="left" vertical="top" wrapText="1" indent="1"/>
    </xf>
    <xf numFmtId="0" fontId="5" fillId="3" borderId="5" xfId="4" applyFont="1" applyFill="1" applyBorder="1" applyAlignment="1">
      <alignment horizontal="left" vertical="top" wrapText="1" indent="1"/>
    </xf>
    <xf numFmtId="0" fontId="23" fillId="4" borderId="0" xfId="4" applyFont="1" applyFill="1" applyAlignment="1">
      <alignment horizontal="left" vertical="top" wrapText="1"/>
    </xf>
    <xf numFmtId="0" fontId="25" fillId="0" borderId="0" xfId="6" applyFont="1" applyAlignment="1">
      <alignment horizontal="left" vertical="top" wrapText="1"/>
    </xf>
    <xf numFmtId="0" fontId="23" fillId="0" borderId="0" xfId="4" applyFont="1" applyAlignment="1">
      <alignment horizontal="left" vertical="top" wrapText="1"/>
    </xf>
    <xf numFmtId="0" fontId="13" fillId="0" borderId="0" xfId="4" applyFont="1" applyAlignment="1">
      <alignment horizontal="left"/>
    </xf>
    <xf numFmtId="0" fontId="15" fillId="4" borderId="9" xfId="4" applyFont="1" applyFill="1" applyBorder="1" applyAlignment="1">
      <alignment horizontal="center"/>
    </xf>
    <xf numFmtId="0" fontId="12" fillId="0" borderId="10" xfId="4" applyFont="1" applyBorder="1" applyAlignment="1">
      <alignment horizontal="center" vertical="center"/>
    </xf>
    <xf numFmtId="0" fontId="23" fillId="4" borderId="0" xfId="4" applyFont="1" applyFill="1" applyAlignment="1">
      <alignment horizontal="left" vertical="top"/>
    </xf>
    <xf numFmtId="0" fontId="25" fillId="4" borderId="0" xfId="6" applyFont="1" applyFill="1" applyAlignment="1">
      <alignment vertical="top" wrapText="1"/>
    </xf>
    <xf numFmtId="0" fontId="12" fillId="0" borderId="0" xfId="4" applyFont="1" applyAlignment="1">
      <alignment horizontal="center" vertical="center"/>
    </xf>
    <xf numFmtId="0" fontId="23" fillId="0" borderId="0" xfId="4" applyFont="1" applyAlignment="1">
      <alignment vertical="top"/>
    </xf>
    <xf numFmtId="0" fontId="23" fillId="4" borderId="0" xfId="4" applyFont="1" applyFill="1" applyAlignment="1">
      <alignment vertical="top" wrapText="1"/>
    </xf>
    <xf numFmtId="0" fontId="4" fillId="0" borderId="0" xfId="8" applyAlignment="1">
      <alignment horizontal="left" vertical="top"/>
    </xf>
    <xf numFmtId="0" fontId="41" fillId="4" borderId="0" xfId="0" applyFont="1" applyFill="1" applyAlignment="1">
      <alignment horizontal="left" vertical="top" wrapText="1"/>
    </xf>
    <xf numFmtId="0" fontId="0" fillId="0" borderId="0" xfId="0" applyAlignment="1">
      <alignment horizontal="center"/>
    </xf>
    <xf numFmtId="0" fontId="0" fillId="4" borderId="13" xfId="0" applyFill="1" applyBorder="1" applyAlignment="1">
      <alignment horizontal="center" vertical="center"/>
    </xf>
    <xf numFmtId="0" fontId="0" fillId="4" borderId="12" xfId="0" applyFill="1" applyBorder="1" applyAlignment="1">
      <alignment horizontal="center" vertical="center"/>
    </xf>
    <xf numFmtId="0" fontId="0" fillId="4" borderId="17" xfId="0" applyFill="1" applyBorder="1" applyAlignment="1">
      <alignment horizontal="center" vertical="center"/>
    </xf>
    <xf numFmtId="0" fontId="0" fillId="4" borderId="14" xfId="0" applyFill="1" applyBorder="1" applyAlignment="1">
      <alignment horizontal="center"/>
    </xf>
    <xf numFmtId="0" fontId="0" fillId="4" borderId="15" xfId="0" applyFill="1" applyBorder="1" applyAlignment="1">
      <alignment horizontal="center"/>
    </xf>
    <xf numFmtId="0" fontId="0" fillId="4" borderId="16" xfId="0" applyFill="1" applyBorder="1" applyAlignment="1">
      <alignment horizontal="center"/>
    </xf>
    <xf numFmtId="0" fontId="0" fillId="4" borderId="9" xfId="0" applyFill="1" applyBorder="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xf numFmtId="0" fontId="2" fillId="10" borderId="23" xfId="0" applyFont="1" applyFill="1" applyBorder="1" applyAlignment="1">
      <alignment horizontal="center"/>
    </xf>
    <xf numFmtId="0" fontId="56" fillId="4" borderId="0" xfId="0" applyFont="1" applyFill="1" applyAlignment="1">
      <alignment horizontal="center" vertical="center"/>
    </xf>
    <xf numFmtId="0" fontId="2" fillId="10" borderId="0" xfId="0" applyFont="1" applyFill="1" applyAlignment="1">
      <alignment horizontal="center"/>
    </xf>
    <xf numFmtId="0" fontId="56" fillId="4" borderId="0" xfId="0" applyFont="1" applyFill="1" applyAlignment="1">
      <alignment horizontal="center"/>
    </xf>
    <xf numFmtId="0" fontId="0" fillId="10" borderId="0" xfId="0" applyFill="1" applyAlignment="1">
      <alignment vertical="center"/>
    </xf>
    <xf numFmtId="0" fontId="0" fillId="10" borderId="0" xfId="0" applyFill="1" applyAlignment="1">
      <alignment horizontal="center"/>
    </xf>
    <xf numFmtId="0" fontId="2" fillId="10" borderId="0" xfId="16" applyFont="1" applyFill="1" applyAlignment="1">
      <alignment horizontal="center" vertical="center"/>
    </xf>
    <xf numFmtId="0" fontId="30" fillId="10" borderId="0" xfId="16" applyFont="1" applyFill="1" applyAlignment="1">
      <alignment horizontal="center" vertical="center"/>
    </xf>
    <xf numFmtId="0" fontId="70" fillId="4" borderId="0" xfId="6" applyFont="1" applyFill="1" applyAlignment="1">
      <alignment horizontal="left" wrapText="1"/>
    </xf>
    <xf numFmtId="0" fontId="12" fillId="4" borderId="0" xfId="6" applyFont="1" applyFill="1" applyAlignment="1">
      <alignment horizontal="left" wrapText="1"/>
    </xf>
    <xf numFmtId="0" fontId="17" fillId="4" borderId="0" xfId="6" applyFont="1" applyFill="1" applyAlignment="1">
      <alignment horizontal="left" vertical="top" wrapText="1"/>
    </xf>
    <xf numFmtId="0" fontId="12" fillId="4" borderId="0" xfId="6" applyFont="1" applyFill="1" applyAlignment="1">
      <alignment horizontal="left" vertical="top" wrapText="1"/>
    </xf>
    <xf numFmtId="0" fontId="70" fillId="4" borderId="0" xfId="6" applyFont="1" applyFill="1" applyAlignment="1">
      <alignment horizontal="left" vertical="center" wrapText="1"/>
    </xf>
    <xf numFmtId="0" fontId="19" fillId="0" borderId="0" xfId="6" applyFont="1" applyAlignment="1">
      <alignment horizontal="left" vertical="top" wrapText="1"/>
    </xf>
    <xf numFmtId="0" fontId="12" fillId="4" borderId="0" xfId="6" applyFont="1" applyFill="1" applyAlignment="1">
      <alignment horizontal="left" vertical="center" wrapText="1"/>
    </xf>
    <xf numFmtId="0" fontId="82" fillId="4" borderId="9" xfId="6" applyFont="1" applyFill="1" applyBorder="1" applyAlignment="1">
      <alignment horizontal="left" vertical="center" wrapText="1"/>
    </xf>
    <xf numFmtId="0" fontId="90" fillId="4" borderId="9" xfId="6" applyFont="1" applyFill="1" applyBorder="1" applyAlignment="1">
      <alignment horizontal="left" vertical="center" wrapText="1"/>
    </xf>
    <xf numFmtId="0" fontId="17" fillId="4" borderId="0" xfId="6" applyFont="1" applyFill="1" applyAlignment="1">
      <alignment horizontal="left" wrapText="1"/>
    </xf>
    <xf numFmtId="0" fontId="70" fillId="4" borderId="0" xfId="6" applyFont="1" applyFill="1" applyAlignment="1">
      <alignment horizontal="left" vertical="top" wrapText="1"/>
    </xf>
    <xf numFmtId="172" fontId="70" fillId="4" borderId="0" xfId="22" applyFont="1" applyFill="1" applyAlignment="1">
      <alignment horizontal="left" vertical="center"/>
    </xf>
    <xf numFmtId="172" fontId="82" fillId="4" borderId="9" xfId="22" applyFont="1" applyFill="1" applyBorder="1" applyAlignment="1">
      <alignment horizontal="left" vertical="top"/>
    </xf>
    <xf numFmtId="172" fontId="95" fillId="4" borderId="9" xfId="22" applyFont="1" applyFill="1" applyBorder="1" applyAlignment="1">
      <alignment horizontal="left" vertical="top"/>
    </xf>
    <xf numFmtId="0" fontId="19" fillId="4" borderId="0" xfId="18" applyFont="1" applyFill="1" applyAlignment="1">
      <alignment horizontal="left"/>
    </xf>
    <xf numFmtId="0" fontId="12" fillId="4" borderId="10" xfId="18" applyFont="1" applyFill="1" applyBorder="1" applyAlignment="1">
      <alignment horizontal="left" vertical="top" wrapText="1"/>
    </xf>
    <xf numFmtId="0" fontId="12" fillId="4" borderId="0" xfId="18" applyFont="1" applyFill="1" applyAlignment="1">
      <alignment horizontal="left" wrapText="1"/>
    </xf>
    <xf numFmtId="0" fontId="12" fillId="4" borderId="0" xfId="18" applyFont="1" applyFill="1" applyAlignment="1">
      <alignment horizontal="left" vertical="top" wrapText="1"/>
    </xf>
    <xf numFmtId="0" fontId="19" fillId="4" borderId="0" xfId="18" applyFont="1" applyFill="1" applyAlignment="1">
      <alignment horizontal="left" wrapText="1"/>
    </xf>
    <xf numFmtId="0" fontId="70" fillId="4" borderId="9" xfId="18" applyFont="1" applyFill="1" applyBorder="1" applyAlignment="1">
      <alignment horizontal="left"/>
    </xf>
    <xf numFmtId="0" fontId="30" fillId="4" borderId="24" xfId="18" applyFont="1" applyFill="1" applyBorder="1" applyAlignment="1">
      <alignment horizontal="center"/>
    </xf>
    <xf numFmtId="0" fontId="30" fillId="4" borderId="24" xfId="18" applyFont="1" applyFill="1" applyBorder="1" applyAlignment="1">
      <alignment horizontal="center" vertical="center"/>
    </xf>
    <xf numFmtId="0" fontId="30" fillId="4" borderId="10" xfId="18" applyFont="1" applyFill="1" applyBorder="1" applyAlignment="1">
      <alignment horizontal="center" vertical="center" wrapText="1"/>
    </xf>
    <xf numFmtId="0" fontId="30" fillId="4" borderId="9" xfId="18" applyFont="1" applyFill="1" applyBorder="1" applyAlignment="1">
      <alignment horizontal="center" vertical="center" wrapText="1"/>
    </xf>
    <xf numFmtId="0" fontId="12" fillId="4" borderId="0" xfId="18" applyFont="1" applyFill="1" applyAlignment="1">
      <alignment horizontal="left"/>
    </xf>
    <xf numFmtId="0" fontId="17" fillId="4" borderId="0" xfId="18" applyFont="1" applyFill="1" applyAlignment="1">
      <alignment horizontal="left" vertical="top" wrapText="1"/>
    </xf>
    <xf numFmtId="0" fontId="25" fillId="4" borderId="0" xfId="18" applyFont="1" applyFill="1" applyAlignment="1">
      <alignment horizontal="left"/>
    </xf>
    <xf numFmtId="0" fontId="30" fillId="4" borderId="0" xfId="18" applyFont="1" applyFill="1" applyAlignment="1">
      <alignment horizontal="center" vertical="center" wrapText="1"/>
    </xf>
    <xf numFmtId="0" fontId="78" fillId="4" borderId="10" xfId="18" applyFont="1" applyFill="1" applyBorder="1" applyAlignment="1">
      <alignment horizontal="center" vertical="center" wrapText="1"/>
    </xf>
    <xf numFmtId="0" fontId="78" fillId="4" borderId="9" xfId="18" applyFont="1" applyFill="1" applyBorder="1" applyAlignment="1">
      <alignment horizontal="center" vertical="center" wrapText="1"/>
    </xf>
    <xf numFmtId="0" fontId="38" fillId="4" borderId="0" xfId="18" applyFont="1" applyFill="1" applyAlignment="1">
      <alignment horizontal="center"/>
    </xf>
    <xf numFmtId="0" fontId="30" fillId="4" borderId="9" xfId="18" applyFont="1" applyFill="1" applyBorder="1" applyAlignment="1">
      <alignment horizontal="center"/>
    </xf>
    <xf numFmtId="0" fontId="30" fillId="4" borderId="9" xfId="18" applyFont="1" applyFill="1" applyBorder="1" applyAlignment="1">
      <alignment horizontal="center" vertical="center"/>
    </xf>
  </cellXfs>
  <cellStyles count="23">
    <cellStyle name="Comma" xfId="1" builtinId="3"/>
    <cellStyle name="Hyperlink" xfId="3" builtinId="8"/>
    <cellStyle name="Hyperlink 3" xfId="7" xr:uid="{A693707F-FCCF-4A67-B490-65E0E43F3E45}"/>
    <cellStyle name="Hyperlink 4" xfId="5" xr:uid="{B314D23D-1E4E-42CA-B608-0E563EEA7980}"/>
    <cellStyle name="Normal" xfId="0" builtinId="0"/>
    <cellStyle name="Normal 1085 6" xfId="19" xr:uid="{63EFB357-2D29-4FDB-8152-0EC2C4E4C44D}"/>
    <cellStyle name="Normal 172" xfId="17" xr:uid="{DA6A2EEA-6ACB-4018-B091-DD85A51FEF09}"/>
    <cellStyle name="Normal 2 2 2" xfId="4" xr:uid="{BF9420A8-68BC-4792-858F-E41E60A5AD4D}"/>
    <cellStyle name="Normal 2 2 3" xfId="6" xr:uid="{2BEA9556-F3F6-47C5-96B8-745EECB336EB}"/>
    <cellStyle name="Normal 2 5" xfId="14" xr:uid="{77B85AE6-379F-47B3-AB04-9CCDD58C86C2}"/>
    <cellStyle name="Normal 2 5 2" xfId="13" xr:uid="{DB58110D-C8AF-4652-B82B-3B19816A773E}"/>
    <cellStyle name="Normal 24" xfId="18" xr:uid="{62C3F897-4BAF-4262-AB1F-DB73EAD19AA1}"/>
    <cellStyle name="Normal 3" xfId="9" xr:uid="{13939125-96F5-4ACF-9374-131DC5A2A0C1}"/>
    <cellStyle name="Normal 3 4" xfId="12" xr:uid="{1A8A8311-0809-46E7-ADB0-AFB9F5BC076D}"/>
    <cellStyle name="Normal 3 5" xfId="15" xr:uid="{2E6AA1B3-085B-4BCE-82A2-50C146698DFC}"/>
    <cellStyle name="Normal 35" xfId="20" xr:uid="{E3441516-727B-42A0-8856-82EE211306AC}"/>
    <cellStyle name="Normal 4 2" xfId="16" xr:uid="{11860B7D-3C8C-4A73-A63C-A726028F9EA7}"/>
    <cellStyle name="Normal 48 8" xfId="21" xr:uid="{12E831E8-151D-48B3-9C63-C288FC4E0D6E}"/>
    <cellStyle name="Normal 5 2" xfId="11" xr:uid="{BB36FEF6-F415-4AE0-8196-F4B7FFFD126E}"/>
    <cellStyle name="Normal 6" xfId="22" xr:uid="{6BE11085-7C31-46A6-B664-AD852E27E25E}"/>
    <cellStyle name="Normal 7" xfId="10" xr:uid="{227F0F9F-0B16-4089-B659-8DC55CE9FEB9}"/>
    <cellStyle name="Normal 8" xfId="8" xr:uid="{05B046DA-4165-4053-A9F1-B90488EF96BB}"/>
    <cellStyle name="Percent" xfId="2" builtinId="5"/>
  </cellStyles>
  <dxfs count="46">
    <dxf>
      <font>
        <condense val="0"/>
        <extend val="0"/>
        <color rgb="FF9C0006"/>
      </font>
      <fill>
        <patternFill>
          <bgColor rgb="FFFFC7CE"/>
        </patternFill>
      </fill>
    </dxf>
    <dxf>
      <fill>
        <patternFill>
          <bgColor rgb="FFE4D4F0"/>
        </patternFill>
      </fill>
    </dxf>
    <dxf>
      <font>
        <condense val="0"/>
        <extend val="0"/>
        <color rgb="FF9C0006"/>
      </font>
      <fill>
        <patternFill>
          <bgColor rgb="FFFFC7CE"/>
        </patternFill>
      </fill>
    </dxf>
    <dxf>
      <fill>
        <patternFill>
          <bgColor rgb="FFE4D4F0"/>
        </patternFill>
      </fill>
    </dxf>
    <dxf>
      <font>
        <condense val="0"/>
        <extend val="0"/>
        <color rgb="FF9C0006"/>
      </font>
      <fill>
        <patternFill>
          <bgColor rgb="FFFFC7CE"/>
        </patternFill>
      </fill>
    </dxf>
    <dxf>
      <fill>
        <patternFill>
          <bgColor rgb="FFE4D4F0"/>
        </patternFill>
      </fill>
    </dxf>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6.xml"/><Relationship Id="rId299" Type="http://schemas.openxmlformats.org/officeDocument/2006/relationships/externalLink" Target="externalLinks/externalLink228.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88.xml"/><Relationship Id="rId170" Type="http://schemas.openxmlformats.org/officeDocument/2006/relationships/externalLink" Target="externalLinks/externalLink99.xml"/><Relationship Id="rId226" Type="http://schemas.openxmlformats.org/officeDocument/2006/relationships/externalLink" Target="externalLinks/externalLink155.xml"/><Relationship Id="rId268" Type="http://schemas.openxmlformats.org/officeDocument/2006/relationships/externalLink" Target="externalLinks/externalLink197.xml"/><Relationship Id="rId32" Type="http://schemas.openxmlformats.org/officeDocument/2006/relationships/worksheet" Target="worksheets/sheet32.xml"/><Relationship Id="rId74" Type="http://schemas.openxmlformats.org/officeDocument/2006/relationships/externalLink" Target="externalLinks/externalLink3.xml"/><Relationship Id="rId128" Type="http://schemas.openxmlformats.org/officeDocument/2006/relationships/externalLink" Target="externalLinks/externalLink57.xml"/><Relationship Id="rId5" Type="http://schemas.openxmlformats.org/officeDocument/2006/relationships/worksheet" Target="worksheets/sheet5.xml"/><Relationship Id="rId181" Type="http://schemas.openxmlformats.org/officeDocument/2006/relationships/externalLink" Target="externalLinks/externalLink110.xml"/><Relationship Id="rId237" Type="http://schemas.openxmlformats.org/officeDocument/2006/relationships/externalLink" Target="externalLinks/externalLink166.xml"/><Relationship Id="rId279" Type="http://schemas.openxmlformats.org/officeDocument/2006/relationships/externalLink" Target="externalLinks/externalLink208.xml"/><Relationship Id="rId43" Type="http://schemas.openxmlformats.org/officeDocument/2006/relationships/worksheet" Target="worksheets/sheet43.xml"/><Relationship Id="rId139" Type="http://schemas.openxmlformats.org/officeDocument/2006/relationships/externalLink" Target="externalLinks/externalLink68.xml"/><Relationship Id="rId290" Type="http://schemas.openxmlformats.org/officeDocument/2006/relationships/externalLink" Target="externalLinks/externalLink219.xml"/><Relationship Id="rId85" Type="http://schemas.openxmlformats.org/officeDocument/2006/relationships/externalLink" Target="externalLinks/externalLink14.xml"/><Relationship Id="rId150" Type="http://schemas.openxmlformats.org/officeDocument/2006/relationships/externalLink" Target="externalLinks/externalLink79.xml"/><Relationship Id="rId192" Type="http://schemas.openxmlformats.org/officeDocument/2006/relationships/externalLink" Target="externalLinks/externalLink121.xml"/><Relationship Id="rId206" Type="http://schemas.openxmlformats.org/officeDocument/2006/relationships/externalLink" Target="externalLinks/externalLink135.xml"/><Relationship Id="rId248" Type="http://schemas.openxmlformats.org/officeDocument/2006/relationships/externalLink" Target="externalLinks/externalLink177.xml"/><Relationship Id="rId12" Type="http://schemas.openxmlformats.org/officeDocument/2006/relationships/worksheet" Target="worksheets/sheet12.xml"/><Relationship Id="rId108" Type="http://schemas.openxmlformats.org/officeDocument/2006/relationships/externalLink" Target="externalLinks/externalLink37.xml"/><Relationship Id="rId54" Type="http://schemas.openxmlformats.org/officeDocument/2006/relationships/worksheet" Target="worksheets/sheet54.xml"/><Relationship Id="rId96" Type="http://schemas.openxmlformats.org/officeDocument/2006/relationships/externalLink" Target="externalLinks/externalLink25.xml"/><Relationship Id="rId161" Type="http://schemas.openxmlformats.org/officeDocument/2006/relationships/externalLink" Target="externalLinks/externalLink90.xml"/><Relationship Id="rId217" Type="http://schemas.openxmlformats.org/officeDocument/2006/relationships/externalLink" Target="externalLinks/externalLink146.xml"/><Relationship Id="rId6" Type="http://schemas.openxmlformats.org/officeDocument/2006/relationships/worksheet" Target="worksheets/sheet6.xml"/><Relationship Id="rId238" Type="http://schemas.openxmlformats.org/officeDocument/2006/relationships/externalLink" Target="externalLinks/externalLink167.xml"/><Relationship Id="rId259" Type="http://schemas.openxmlformats.org/officeDocument/2006/relationships/externalLink" Target="externalLinks/externalLink188.xml"/><Relationship Id="rId23" Type="http://schemas.openxmlformats.org/officeDocument/2006/relationships/worksheet" Target="worksheets/sheet23.xml"/><Relationship Id="rId119" Type="http://schemas.openxmlformats.org/officeDocument/2006/relationships/externalLink" Target="externalLinks/externalLink48.xml"/><Relationship Id="rId270" Type="http://schemas.openxmlformats.org/officeDocument/2006/relationships/externalLink" Target="externalLinks/externalLink199.xml"/><Relationship Id="rId291" Type="http://schemas.openxmlformats.org/officeDocument/2006/relationships/externalLink" Target="externalLinks/externalLink22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5.xml"/><Relationship Id="rId130" Type="http://schemas.openxmlformats.org/officeDocument/2006/relationships/externalLink" Target="externalLinks/externalLink59.xml"/><Relationship Id="rId151" Type="http://schemas.openxmlformats.org/officeDocument/2006/relationships/externalLink" Target="externalLinks/externalLink80.xml"/><Relationship Id="rId172" Type="http://schemas.openxmlformats.org/officeDocument/2006/relationships/externalLink" Target="externalLinks/externalLink101.xml"/><Relationship Id="rId193" Type="http://schemas.openxmlformats.org/officeDocument/2006/relationships/externalLink" Target="externalLinks/externalLink122.xml"/><Relationship Id="rId207" Type="http://schemas.openxmlformats.org/officeDocument/2006/relationships/externalLink" Target="externalLinks/externalLink136.xml"/><Relationship Id="rId228" Type="http://schemas.openxmlformats.org/officeDocument/2006/relationships/externalLink" Target="externalLinks/externalLink157.xml"/><Relationship Id="rId249" Type="http://schemas.openxmlformats.org/officeDocument/2006/relationships/externalLink" Target="externalLinks/externalLink178.xml"/><Relationship Id="rId13" Type="http://schemas.openxmlformats.org/officeDocument/2006/relationships/worksheet" Target="worksheets/sheet13.xml"/><Relationship Id="rId109" Type="http://schemas.openxmlformats.org/officeDocument/2006/relationships/externalLink" Target="externalLinks/externalLink38.xml"/><Relationship Id="rId260" Type="http://schemas.openxmlformats.org/officeDocument/2006/relationships/externalLink" Target="externalLinks/externalLink189.xml"/><Relationship Id="rId281" Type="http://schemas.openxmlformats.org/officeDocument/2006/relationships/externalLink" Target="externalLinks/externalLink21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5.xml"/><Relationship Id="rId97" Type="http://schemas.openxmlformats.org/officeDocument/2006/relationships/externalLink" Target="externalLinks/externalLink26.xml"/><Relationship Id="rId120" Type="http://schemas.openxmlformats.org/officeDocument/2006/relationships/externalLink" Target="externalLinks/externalLink49.xml"/><Relationship Id="rId141" Type="http://schemas.openxmlformats.org/officeDocument/2006/relationships/externalLink" Target="externalLinks/externalLink70.xml"/><Relationship Id="rId7" Type="http://schemas.openxmlformats.org/officeDocument/2006/relationships/worksheet" Target="worksheets/sheet7.xml"/><Relationship Id="rId162" Type="http://schemas.openxmlformats.org/officeDocument/2006/relationships/externalLink" Target="externalLinks/externalLink91.xml"/><Relationship Id="rId183" Type="http://schemas.openxmlformats.org/officeDocument/2006/relationships/externalLink" Target="externalLinks/externalLink112.xml"/><Relationship Id="rId218" Type="http://schemas.openxmlformats.org/officeDocument/2006/relationships/externalLink" Target="externalLinks/externalLink147.xml"/><Relationship Id="rId239" Type="http://schemas.openxmlformats.org/officeDocument/2006/relationships/externalLink" Target="externalLinks/externalLink168.xml"/><Relationship Id="rId250" Type="http://schemas.openxmlformats.org/officeDocument/2006/relationships/externalLink" Target="externalLinks/externalLink179.xml"/><Relationship Id="rId271" Type="http://schemas.openxmlformats.org/officeDocument/2006/relationships/externalLink" Target="externalLinks/externalLink200.xml"/><Relationship Id="rId292" Type="http://schemas.openxmlformats.org/officeDocument/2006/relationships/externalLink" Target="externalLinks/externalLink22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6.xml"/><Relationship Id="rId110" Type="http://schemas.openxmlformats.org/officeDocument/2006/relationships/externalLink" Target="externalLinks/externalLink39.xml"/><Relationship Id="rId131" Type="http://schemas.openxmlformats.org/officeDocument/2006/relationships/externalLink" Target="externalLinks/externalLink60.xml"/><Relationship Id="rId152" Type="http://schemas.openxmlformats.org/officeDocument/2006/relationships/externalLink" Target="externalLinks/externalLink81.xml"/><Relationship Id="rId173" Type="http://schemas.openxmlformats.org/officeDocument/2006/relationships/externalLink" Target="externalLinks/externalLink102.xml"/><Relationship Id="rId194" Type="http://schemas.openxmlformats.org/officeDocument/2006/relationships/externalLink" Target="externalLinks/externalLink123.xml"/><Relationship Id="rId208" Type="http://schemas.openxmlformats.org/officeDocument/2006/relationships/externalLink" Target="externalLinks/externalLink137.xml"/><Relationship Id="rId229" Type="http://schemas.openxmlformats.org/officeDocument/2006/relationships/externalLink" Target="externalLinks/externalLink158.xml"/><Relationship Id="rId240" Type="http://schemas.openxmlformats.org/officeDocument/2006/relationships/externalLink" Target="externalLinks/externalLink169.xml"/><Relationship Id="rId261" Type="http://schemas.openxmlformats.org/officeDocument/2006/relationships/externalLink" Target="externalLinks/externalLink19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6.xml"/><Relationship Id="rId100" Type="http://schemas.openxmlformats.org/officeDocument/2006/relationships/externalLink" Target="externalLinks/externalLink29.xml"/><Relationship Id="rId282" Type="http://schemas.openxmlformats.org/officeDocument/2006/relationships/externalLink" Target="externalLinks/externalLink211.xml"/><Relationship Id="rId8" Type="http://schemas.openxmlformats.org/officeDocument/2006/relationships/worksheet" Target="worksheets/sheet8.xml"/><Relationship Id="rId98" Type="http://schemas.openxmlformats.org/officeDocument/2006/relationships/externalLink" Target="externalLinks/externalLink27.xml"/><Relationship Id="rId121" Type="http://schemas.openxmlformats.org/officeDocument/2006/relationships/externalLink" Target="externalLinks/externalLink50.xml"/><Relationship Id="rId142" Type="http://schemas.openxmlformats.org/officeDocument/2006/relationships/externalLink" Target="externalLinks/externalLink71.xml"/><Relationship Id="rId163" Type="http://schemas.openxmlformats.org/officeDocument/2006/relationships/externalLink" Target="externalLinks/externalLink92.xml"/><Relationship Id="rId184" Type="http://schemas.openxmlformats.org/officeDocument/2006/relationships/externalLink" Target="externalLinks/externalLink113.xml"/><Relationship Id="rId219" Type="http://schemas.openxmlformats.org/officeDocument/2006/relationships/externalLink" Target="externalLinks/externalLink148.xml"/><Relationship Id="rId230" Type="http://schemas.openxmlformats.org/officeDocument/2006/relationships/externalLink" Target="externalLinks/externalLink159.xml"/><Relationship Id="rId251" Type="http://schemas.openxmlformats.org/officeDocument/2006/relationships/externalLink" Target="externalLinks/externalLink18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201.xml"/><Relationship Id="rId293" Type="http://schemas.openxmlformats.org/officeDocument/2006/relationships/externalLink" Target="externalLinks/externalLink222.xml"/><Relationship Id="rId88" Type="http://schemas.openxmlformats.org/officeDocument/2006/relationships/externalLink" Target="externalLinks/externalLink17.xml"/><Relationship Id="rId111" Type="http://schemas.openxmlformats.org/officeDocument/2006/relationships/externalLink" Target="externalLinks/externalLink40.xml"/><Relationship Id="rId132" Type="http://schemas.openxmlformats.org/officeDocument/2006/relationships/externalLink" Target="externalLinks/externalLink61.xml"/><Relationship Id="rId153" Type="http://schemas.openxmlformats.org/officeDocument/2006/relationships/externalLink" Target="externalLinks/externalLink82.xml"/><Relationship Id="rId174" Type="http://schemas.openxmlformats.org/officeDocument/2006/relationships/externalLink" Target="externalLinks/externalLink103.xml"/><Relationship Id="rId195" Type="http://schemas.openxmlformats.org/officeDocument/2006/relationships/externalLink" Target="externalLinks/externalLink124.xml"/><Relationship Id="rId209" Type="http://schemas.openxmlformats.org/officeDocument/2006/relationships/externalLink" Target="externalLinks/externalLink138.xml"/><Relationship Id="rId220" Type="http://schemas.openxmlformats.org/officeDocument/2006/relationships/externalLink" Target="externalLinks/externalLink149.xml"/><Relationship Id="rId241" Type="http://schemas.openxmlformats.org/officeDocument/2006/relationships/externalLink" Target="externalLinks/externalLink17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91.xml"/><Relationship Id="rId283" Type="http://schemas.openxmlformats.org/officeDocument/2006/relationships/externalLink" Target="externalLinks/externalLink212.xml"/><Relationship Id="rId78" Type="http://schemas.openxmlformats.org/officeDocument/2006/relationships/externalLink" Target="externalLinks/externalLink7.xml"/><Relationship Id="rId99" Type="http://schemas.openxmlformats.org/officeDocument/2006/relationships/externalLink" Target="externalLinks/externalLink28.xml"/><Relationship Id="rId101" Type="http://schemas.openxmlformats.org/officeDocument/2006/relationships/externalLink" Target="externalLinks/externalLink30.xml"/><Relationship Id="rId122" Type="http://schemas.openxmlformats.org/officeDocument/2006/relationships/externalLink" Target="externalLinks/externalLink51.xml"/><Relationship Id="rId143" Type="http://schemas.openxmlformats.org/officeDocument/2006/relationships/externalLink" Target="externalLinks/externalLink72.xml"/><Relationship Id="rId164" Type="http://schemas.openxmlformats.org/officeDocument/2006/relationships/externalLink" Target="externalLinks/externalLink93.xml"/><Relationship Id="rId185" Type="http://schemas.openxmlformats.org/officeDocument/2006/relationships/externalLink" Target="externalLinks/externalLink114.xml"/><Relationship Id="rId9" Type="http://schemas.openxmlformats.org/officeDocument/2006/relationships/worksheet" Target="worksheets/sheet9.xml"/><Relationship Id="rId210" Type="http://schemas.openxmlformats.org/officeDocument/2006/relationships/externalLink" Target="externalLinks/externalLink139.xml"/><Relationship Id="rId26" Type="http://schemas.openxmlformats.org/officeDocument/2006/relationships/worksheet" Target="worksheets/sheet26.xml"/><Relationship Id="rId231" Type="http://schemas.openxmlformats.org/officeDocument/2006/relationships/externalLink" Target="externalLinks/externalLink160.xml"/><Relationship Id="rId252" Type="http://schemas.openxmlformats.org/officeDocument/2006/relationships/externalLink" Target="externalLinks/externalLink181.xml"/><Relationship Id="rId273" Type="http://schemas.openxmlformats.org/officeDocument/2006/relationships/externalLink" Target="externalLinks/externalLink202.xml"/><Relationship Id="rId294" Type="http://schemas.openxmlformats.org/officeDocument/2006/relationships/externalLink" Target="externalLinks/externalLink22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8.xml"/><Relationship Id="rId112" Type="http://schemas.openxmlformats.org/officeDocument/2006/relationships/externalLink" Target="externalLinks/externalLink41.xml"/><Relationship Id="rId133" Type="http://schemas.openxmlformats.org/officeDocument/2006/relationships/externalLink" Target="externalLinks/externalLink62.xml"/><Relationship Id="rId154" Type="http://schemas.openxmlformats.org/officeDocument/2006/relationships/externalLink" Target="externalLinks/externalLink83.xml"/><Relationship Id="rId175" Type="http://schemas.openxmlformats.org/officeDocument/2006/relationships/externalLink" Target="externalLinks/externalLink104.xml"/><Relationship Id="rId196" Type="http://schemas.openxmlformats.org/officeDocument/2006/relationships/externalLink" Target="externalLinks/externalLink125.xml"/><Relationship Id="rId200" Type="http://schemas.openxmlformats.org/officeDocument/2006/relationships/externalLink" Target="externalLinks/externalLink129.xml"/><Relationship Id="rId16" Type="http://schemas.openxmlformats.org/officeDocument/2006/relationships/worksheet" Target="worksheets/sheet16.xml"/><Relationship Id="rId221" Type="http://schemas.openxmlformats.org/officeDocument/2006/relationships/externalLink" Target="externalLinks/externalLink150.xml"/><Relationship Id="rId242" Type="http://schemas.openxmlformats.org/officeDocument/2006/relationships/externalLink" Target="externalLinks/externalLink171.xml"/><Relationship Id="rId263" Type="http://schemas.openxmlformats.org/officeDocument/2006/relationships/externalLink" Target="externalLinks/externalLink192.xml"/><Relationship Id="rId284" Type="http://schemas.openxmlformats.org/officeDocument/2006/relationships/externalLink" Target="externalLinks/externalLink21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8.xml"/><Relationship Id="rId102" Type="http://schemas.openxmlformats.org/officeDocument/2006/relationships/externalLink" Target="externalLinks/externalLink31.xml"/><Relationship Id="rId123" Type="http://schemas.openxmlformats.org/officeDocument/2006/relationships/externalLink" Target="externalLinks/externalLink52.xml"/><Relationship Id="rId144" Type="http://schemas.openxmlformats.org/officeDocument/2006/relationships/externalLink" Target="externalLinks/externalLink73.xml"/><Relationship Id="rId90" Type="http://schemas.openxmlformats.org/officeDocument/2006/relationships/externalLink" Target="externalLinks/externalLink19.xml"/><Relationship Id="rId165" Type="http://schemas.openxmlformats.org/officeDocument/2006/relationships/externalLink" Target="externalLinks/externalLink94.xml"/><Relationship Id="rId186" Type="http://schemas.openxmlformats.org/officeDocument/2006/relationships/externalLink" Target="externalLinks/externalLink115.xml"/><Relationship Id="rId211" Type="http://schemas.openxmlformats.org/officeDocument/2006/relationships/externalLink" Target="externalLinks/externalLink140.xml"/><Relationship Id="rId232" Type="http://schemas.openxmlformats.org/officeDocument/2006/relationships/externalLink" Target="externalLinks/externalLink161.xml"/><Relationship Id="rId253" Type="http://schemas.openxmlformats.org/officeDocument/2006/relationships/externalLink" Target="externalLinks/externalLink182.xml"/><Relationship Id="rId274" Type="http://schemas.openxmlformats.org/officeDocument/2006/relationships/externalLink" Target="externalLinks/externalLink203.xml"/><Relationship Id="rId295" Type="http://schemas.openxmlformats.org/officeDocument/2006/relationships/externalLink" Target="externalLinks/externalLink22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42.xml"/><Relationship Id="rId134" Type="http://schemas.openxmlformats.org/officeDocument/2006/relationships/externalLink" Target="externalLinks/externalLink63.xml"/><Relationship Id="rId80" Type="http://schemas.openxmlformats.org/officeDocument/2006/relationships/externalLink" Target="externalLinks/externalLink9.xml"/><Relationship Id="rId155" Type="http://schemas.openxmlformats.org/officeDocument/2006/relationships/externalLink" Target="externalLinks/externalLink84.xml"/><Relationship Id="rId176" Type="http://schemas.openxmlformats.org/officeDocument/2006/relationships/externalLink" Target="externalLinks/externalLink105.xml"/><Relationship Id="rId197" Type="http://schemas.openxmlformats.org/officeDocument/2006/relationships/externalLink" Target="externalLinks/externalLink126.xml"/><Relationship Id="rId201" Type="http://schemas.openxmlformats.org/officeDocument/2006/relationships/externalLink" Target="externalLinks/externalLink130.xml"/><Relationship Id="rId222" Type="http://schemas.openxmlformats.org/officeDocument/2006/relationships/externalLink" Target="externalLinks/externalLink151.xml"/><Relationship Id="rId243" Type="http://schemas.openxmlformats.org/officeDocument/2006/relationships/externalLink" Target="externalLinks/externalLink172.xml"/><Relationship Id="rId264" Type="http://schemas.openxmlformats.org/officeDocument/2006/relationships/externalLink" Target="externalLinks/externalLink193.xml"/><Relationship Id="rId285" Type="http://schemas.openxmlformats.org/officeDocument/2006/relationships/externalLink" Target="externalLinks/externalLink21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2.xml"/><Relationship Id="rId124" Type="http://schemas.openxmlformats.org/officeDocument/2006/relationships/externalLink" Target="externalLinks/externalLink53.xml"/><Relationship Id="rId70" Type="http://schemas.openxmlformats.org/officeDocument/2006/relationships/worksheet" Target="worksheets/sheet70.xml"/><Relationship Id="rId91" Type="http://schemas.openxmlformats.org/officeDocument/2006/relationships/externalLink" Target="externalLinks/externalLink20.xml"/><Relationship Id="rId145" Type="http://schemas.openxmlformats.org/officeDocument/2006/relationships/externalLink" Target="externalLinks/externalLink74.xml"/><Relationship Id="rId166" Type="http://schemas.openxmlformats.org/officeDocument/2006/relationships/externalLink" Target="externalLinks/externalLink95.xml"/><Relationship Id="rId187" Type="http://schemas.openxmlformats.org/officeDocument/2006/relationships/externalLink" Target="externalLinks/externalLink116.xml"/><Relationship Id="rId1" Type="http://schemas.openxmlformats.org/officeDocument/2006/relationships/worksheet" Target="worksheets/sheet1.xml"/><Relationship Id="rId212" Type="http://schemas.openxmlformats.org/officeDocument/2006/relationships/externalLink" Target="externalLinks/externalLink141.xml"/><Relationship Id="rId233" Type="http://schemas.openxmlformats.org/officeDocument/2006/relationships/externalLink" Target="externalLinks/externalLink162.xml"/><Relationship Id="rId254" Type="http://schemas.openxmlformats.org/officeDocument/2006/relationships/externalLink" Target="externalLinks/externalLink18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3.xml"/><Relationship Id="rId275" Type="http://schemas.openxmlformats.org/officeDocument/2006/relationships/externalLink" Target="externalLinks/externalLink204.xml"/><Relationship Id="rId296" Type="http://schemas.openxmlformats.org/officeDocument/2006/relationships/externalLink" Target="externalLinks/externalLink225.xml"/><Relationship Id="rId300"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externalLink" Target="externalLinks/externalLink10.xml"/><Relationship Id="rId135" Type="http://schemas.openxmlformats.org/officeDocument/2006/relationships/externalLink" Target="externalLinks/externalLink64.xml"/><Relationship Id="rId156" Type="http://schemas.openxmlformats.org/officeDocument/2006/relationships/externalLink" Target="externalLinks/externalLink85.xml"/><Relationship Id="rId177" Type="http://schemas.openxmlformats.org/officeDocument/2006/relationships/externalLink" Target="externalLinks/externalLink106.xml"/><Relationship Id="rId198" Type="http://schemas.openxmlformats.org/officeDocument/2006/relationships/externalLink" Target="externalLinks/externalLink127.xml"/><Relationship Id="rId202" Type="http://schemas.openxmlformats.org/officeDocument/2006/relationships/externalLink" Target="externalLinks/externalLink131.xml"/><Relationship Id="rId223" Type="http://schemas.openxmlformats.org/officeDocument/2006/relationships/externalLink" Target="externalLinks/externalLink152.xml"/><Relationship Id="rId244" Type="http://schemas.openxmlformats.org/officeDocument/2006/relationships/externalLink" Target="externalLinks/externalLink17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94.xml"/><Relationship Id="rId286" Type="http://schemas.openxmlformats.org/officeDocument/2006/relationships/externalLink" Target="externalLinks/externalLink215.xml"/><Relationship Id="rId50" Type="http://schemas.openxmlformats.org/officeDocument/2006/relationships/worksheet" Target="worksheets/sheet50.xml"/><Relationship Id="rId104" Type="http://schemas.openxmlformats.org/officeDocument/2006/relationships/externalLink" Target="externalLinks/externalLink33.xml"/><Relationship Id="rId125" Type="http://schemas.openxmlformats.org/officeDocument/2006/relationships/externalLink" Target="externalLinks/externalLink54.xml"/><Relationship Id="rId146" Type="http://schemas.openxmlformats.org/officeDocument/2006/relationships/externalLink" Target="externalLinks/externalLink75.xml"/><Relationship Id="rId167" Type="http://schemas.openxmlformats.org/officeDocument/2006/relationships/externalLink" Target="externalLinks/externalLink96.xml"/><Relationship Id="rId188" Type="http://schemas.openxmlformats.org/officeDocument/2006/relationships/externalLink" Target="externalLinks/externalLink117.xml"/><Relationship Id="rId71" Type="http://schemas.openxmlformats.org/officeDocument/2006/relationships/worksheet" Target="worksheets/sheet71.xml"/><Relationship Id="rId92" Type="http://schemas.openxmlformats.org/officeDocument/2006/relationships/externalLink" Target="externalLinks/externalLink21.xml"/><Relationship Id="rId213" Type="http://schemas.openxmlformats.org/officeDocument/2006/relationships/externalLink" Target="externalLinks/externalLink142.xml"/><Relationship Id="rId234" Type="http://schemas.openxmlformats.org/officeDocument/2006/relationships/externalLink" Target="externalLinks/externalLink16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84.xml"/><Relationship Id="rId276" Type="http://schemas.openxmlformats.org/officeDocument/2006/relationships/externalLink" Target="externalLinks/externalLink205.xml"/><Relationship Id="rId297" Type="http://schemas.openxmlformats.org/officeDocument/2006/relationships/externalLink" Target="externalLinks/externalLink226.xml"/><Relationship Id="rId40" Type="http://schemas.openxmlformats.org/officeDocument/2006/relationships/worksheet" Target="worksheets/sheet40.xml"/><Relationship Id="rId115" Type="http://schemas.openxmlformats.org/officeDocument/2006/relationships/externalLink" Target="externalLinks/externalLink44.xml"/><Relationship Id="rId136" Type="http://schemas.openxmlformats.org/officeDocument/2006/relationships/externalLink" Target="externalLinks/externalLink65.xml"/><Relationship Id="rId157" Type="http://schemas.openxmlformats.org/officeDocument/2006/relationships/externalLink" Target="externalLinks/externalLink86.xml"/><Relationship Id="rId178" Type="http://schemas.openxmlformats.org/officeDocument/2006/relationships/externalLink" Target="externalLinks/externalLink107.xml"/><Relationship Id="rId30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11.xml"/><Relationship Id="rId199" Type="http://schemas.openxmlformats.org/officeDocument/2006/relationships/externalLink" Target="externalLinks/externalLink128.xml"/><Relationship Id="rId203" Type="http://schemas.openxmlformats.org/officeDocument/2006/relationships/externalLink" Target="externalLinks/externalLink132.xml"/><Relationship Id="rId19" Type="http://schemas.openxmlformats.org/officeDocument/2006/relationships/worksheet" Target="worksheets/sheet19.xml"/><Relationship Id="rId224" Type="http://schemas.openxmlformats.org/officeDocument/2006/relationships/externalLink" Target="externalLinks/externalLink153.xml"/><Relationship Id="rId245" Type="http://schemas.openxmlformats.org/officeDocument/2006/relationships/externalLink" Target="externalLinks/externalLink174.xml"/><Relationship Id="rId266" Type="http://schemas.openxmlformats.org/officeDocument/2006/relationships/externalLink" Target="externalLinks/externalLink195.xml"/><Relationship Id="rId287" Type="http://schemas.openxmlformats.org/officeDocument/2006/relationships/externalLink" Target="externalLinks/externalLink216.xml"/><Relationship Id="rId30" Type="http://schemas.openxmlformats.org/officeDocument/2006/relationships/worksheet" Target="worksheets/sheet30.xml"/><Relationship Id="rId105" Type="http://schemas.openxmlformats.org/officeDocument/2006/relationships/externalLink" Target="externalLinks/externalLink34.xml"/><Relationship Id="rId126" Type="http://schemas.openxmlformats.org/officeDocument/2006/relationships/externalLink" Target="externalLinks/externalLink55.xml"/><Relationship Id="rId147" Type="http://schemas.openxmlformats.org/officeDocument/2006/relationships/externalLink" Target="externalLinks/externalLink76.xml"/><Relationship Id="rId168" Type="http://schemas.openxmlformats.org/officeDocument/2006/relationships/externalLink" Target="externalLinks/externalLink97.xml"/><Relationship Id="rId51" Type="http://schemas.openxmlformats.org/officeDocument/2006/relationships/worksheet" Target="worksheets/sheet51.xml"/><Relationship Id="rId72" Type="http://schemas.openxmlformats.org/officeDocument/2006/relationships/externalLink" Target="externalLinks/externalLink1.xml"/><Relationship Id="rId93" Type="http://schemas.openxmlformats.org/officeDocument/2006/relationships/externalLink" Target="externalLinks/externalLink22.xml"/><Relationship Id="rId189" Type="http://schemas.openxmlformats.org/officeDocument/2006/relationships/externalLink" Target="externalLinks/externalLink118.xml"/><Relationship Id="rId3" Type="http://schemas.openxmlformats.org/officeDocument/2006/relationships/worksheet" Target="worksheets/sheet3.xml"/><Relationship Id="rId214" Type="http://schemas.openxmlformats.org/officeDocument/2006/relationships/externalLink" Target="externalLinks/externalLink143.xml"/><Relationship Id="rId235" Type="http://schemas.openxmlformats.org/officeDocument/2006/relationships/externalLink" Target="externalLinks/externalLink164.xml"/><Relationship Id="rId256" Type="http://schemas.openxmlformats.org/officeDocument/2006/relationships/externalLink" Target="externalLinks/externalLink185.xml"/><Relationship Id="rId277" Type="http://schemas.openxmlformats.org/officeDocument/2006/relationships/externalLink" Target="externalLinks/externalLink206.xml"/><Relationship Id="rId298" Type="http://schemas.openxmlformats.org/officeDocument/2006/relationships/externalLink" Target="externalLinks/externalLink227.xml"/><Relationship Id="rId116" Type="http://schemas.openxmlformats.org/officeDocument/2006/relationships/externalLink" Target="externalLinks/externalLink45.xml"/><Relationship Id="rId137" Type="http://schemas.openxmlformats.org/officeDocument/2006/relationships/externalLink" Target="externalLinks/externalLink66.xml"/><Relationship Id="rId158" Type="http://schemas.openxmlformats.org/officeDocument/2006/relationships/externalLink" Target="externalLinks/externalLink87.xml"/><Relationship Id="rId302"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2.xml"/><Relationship Id="rId179" Type="http://schemas.openxmlformats.org/officeDocument/2006/relationships/externalLink" Target="externalLinks/externalLink108.xml"/><Relationship Id="rId190" Type="http://schemas.openxmlformats.org/officeDocument/2006/relationships/externalLink" Target="externalLinks/externalLink119.xml"/><Relationship Id="rId204" Type="http://schemas.openxmlformats.org/officeDocument/2006/relationships/externalLink" Target="externalLinks/externalLink133.xml"/><Relationship Id="rId225" Type="http://schemas.openxmlformats.org/officeDocument/2006/relationships/externalLink" Target="externalLinks/externalLink154.xml"/><Relationship Id="rId246" Type="http://schemas.openxmlformats.org/officeDocument/2006/relationships/externalLink" Target="externalLinks/externalLink175.xml"/><Relationship Id="rId267" Type="http://schemas.openxmlformats.org/officeDocument/2006/relationships/externalLink" Target="externalLinks/externalLink196.xml"/><Relationship Id="rId288" Type="http://schemas.openxmlformats.org/officeDocument/2006/relationships/externalLink" Target="externalLinks/externalLink217.xml"/><Relationship Id="rId106" Type="http://schemas.openxmlformats.org/officeDocument/2006/relationships/externalLink" Target="externalLinks/externalLink35.xml"/><Relationship Id="rId127" Type="http://schemas.openxmlformats.org/officeDocument/2006/relationships/externalLink" Target="externalLinks/externalLink5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xml"/><Relationship Id="rId94" Type="http://schemas.openxmlformats.org/officeDocument/2006/relationships/externalLink" Target="externalLinks/externalLink23.xml"/><Relationship Id="rId148" Type="http://schemas.openxmlformats.org/officeDocument/2006/relationships/externalLink" Target="externalLinks/externalLink77.xml"/><Relationship Id="rId169" Type="http://schemas.openxmlformats.org/officeDocument/2006/relationships/externalLink" Target="externalLinks/externalLink98.xml"/><Relationship Id="rId4" Type="http://schemas.openxmlformats.org/officeDocument/2006/relationships/worksheet" Target="worksheets/sheet4.xml"/><Relationship Id="rId180" Type="http://schemas.openxmlformats.org/officeDocument/2006/relationships/externalLink" Target="externalLinks/externalLink109.xml"/><Relationship Id="rId215" Type="http://schemas.openxmlformats.org/officeDocument/2006/relationships/externalLink" Target="externalLinks/externalLink144.xml"/><Relationship Id="rId236" Type="http://schemas.openxmlformats.org/officeDocument/2006/relationships/externalLink" Target="externalLinks/externalLink165.xml"/><Relationship Id="rId257" Type="http://schemas.openxmlformats.org/officeDocument/2006/relationships/externalLink" Target="externalLinks/externalLink186.xml"/><Relationship Id="rId278" Type="http://schemas.openxmlformats.org/officeDocument/2006/relationships/externalLink" Target="externalLinks/externalLink207.xml"/><Relationship Id="rId303" Type="http://schemas.openxmlformats.org/officeDocument/2006/relationships/calcChain" Target="calcChain.xml"/><Relationship Id="rId42" Type="http://schemas.openxmlformats.org/officeDocument/2006/relationships/worksheet" Target="worksheets/sheet42.xml"/><Relationship Id="rId84" Type="http://schemas.openxmlformats.org/officeDocument/2006/relationships/externalLink" Target="externalLinks/externalLink13.xml"/><Relationship Id="rId138" Type="http://schemas.openxmlformats.org/officeDocument/2006/relationships/externalLink" Target="externalLinks/externalLink67.xml"/><Relationship Id="rId191" Type="http://schemas.openxmlformats.org/officeDocument/2006/relationships/externalLink" Target="externalLinks/externalLink120.xml"/><Relationship Id="rId205" Type="http://schemas.openxmlformats.org/officeDocument/2006/relationships/externalLink" Target="externalLinks/externalLink134.xml"/><Relationship Id="rId247" Type="http://schemas.openxmlformats.org/officeDocument/2006/relationships/externalLink" Target="externalLinks/externalLink176.xml"/><Relationship Id="rId107" Type="http://schemas.openxmlformats.org/officeDocument/2006/relationships/externalLink" Target="externalLinks/externalLink36.xml"/><Relationship Id="rId289" Type="http://schemas.openxmlformats.org/officeDocument/2006/relationships/externalLink" Target="externalLinks/externalLink218.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78.xml"/><Relationship Id="rId95" Type="http://schemas.openxmlformats.org/officeDocument/2006/relationships/externalLink" Target="externalLinks/externalLink24.xml"/><Relationship Id="rId160" Type="http://schemas.openxmlformats.org/officeDocument/2006/relationships/externalLink" Target="externalLinks/externalLink89.xml"/><Relationship Id="rId216" Type="http://schemas.openxmlformats.org/officeDocument/2006/relationships/externalLink" Target="externalLinks/externalLink145.xml"/><Relationship Id="rId258" Type="http://schemas.openxmlformats.org/officeDocument/2006/relationships/externalLink" Target="externalLinks/externalLink187.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47.xml"/><Relationship Id="rId171" Type="http://schemas.openxmlformats.org/officeDocument/2006/relationships/externalLink" Target="externalLinks/externalLink100.xml"/><Relationship Id="rId227" Type="http://schemas.openxmlformats.org/officeDocument/2006/relationships/externalLink" Target="externalLinks/externalLink156.xml"/><Relationship Id="rId269" Type="http://schemas.openxmlformats.org/officeDocument/2006/relationships/externalLink" Target="externalLinks/externalLink198.xml"/><Relationship Id="rId33" Type="http://schemas.openxmlformats.org/officeDocument/2006/relationships/worksheet" Target="worksheets/sheet33.xml"/><Relationship Id="rId129" Type="http://schemas.openxmlformats.org/officeDocument/2006/relationships/externalLink" Target="externalLinks/externalLink58.xml"/><Relationship Id="rId280" Type="http://schemas.openxmlformats.org/officeDocument/2006/relationships/externalLink" Target="externalLinks/externalLink209.xml"/><Relationship Id="rId75" Type="http://schemas.openxmlformats.org/officeDocument/2006/relationships/externalLink" Target="externalLinks/externalLink4.xml"/><Relationship Id="rId140" Type="http://schemas.openxmlformats.org/officeDocument/2006/relationships/externalLink" Target="externalLinks/externalLink69.xml"/><Relationship Id="rId182" Type="http://schemas.openxmlformats.org/officeDocument/2006/relationships/externalLink" Target="externalLinks/externalLink1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9.xml"/><Relationship Id="rId1" Type="http://schemas.microsoft.com/office/2011/relationships/chartStyle" Target="style39.xml"/></Relationships>
</file>

<file path=xl/charts/_rels/chart5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67.xml"/><Relationship Id="rId1" Type="http://schemas.microsoft.com/office/2011/relationships/chartStyle" Target="style67.xml"/></Relationships>
</file>

<file path=xl/charts/_rels/chart8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5509444634279E-2"/>
          <c:y val="0.25810723024965443"/>
          <c:w val="0.85741554176254231"/>
          <c:h val="0.6447305428935769"/>
        </c:manualLayout>
      </c:layout>
      <c:barChart>
        <c:barDir val="bar"/>
        <c:grouping val="percentStacked"/>
        <c:varyColors val="0"/>
        <c:ser>
          <c:idx val="0"/>
          <c:order val="0"/>
          <c:tx>
            <c:strRef>
              <c:f>'Figure 1.1'!$I$2</c:f>
              <c:strCache>
                <c:ptCount val="1"/>
                <c:pt idx="0">
                  <c:v>Monetary and fiscal loosening</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1.1'!$H$3:$H$5</c:f>
              <c:numCache>
                <c:formatCode>General</c:formatCode>
                <c:ptCount val="3"/>
                <c:pt idx="0">
                  <c:v>2022</c:v>
                </c:pt>
                <c:pt idx="1">
                  <c:v>2021</c:v>
                </c:pt>
                <c:pt idx="2">
                  <c:v>2020</c:v>
                </c:pt>
              </c:numCache>
            </c:numRef>
          </c:cat>
          <c:val>
            <c:numRef>
              <c:f>'Figure 1.1'!$I$3:$I$5</c:f>
              <c:numCache>
                <c:formatCode>0</c:formatCode>
                <c:ptCount val="3"/>
                <c:pt idx="0">
                  <c:v>2.8985507246376812</c:v>
                </c:pt>
                <c:pt idx="1">
                  <c:v>7.2463768115942031</c:v>
                </c:pt>
                <c:pt idx="2">
                  <c:v>76.811594202898547</c:v>
                </c:pt>
              </c:numCache>
            </c:numRef>
          </c:val>
          <c:extLst>
            <c:ext xmlns:c16="http://schemas.microsoft.com/office/drawing/2014/chart" uri="{C3380CC4-5D6E-409C-BE32-E72D297353CC}">
              <c16:uniqueId val="{00000000-D932-46AF-92BD-0B94EBA550EC}"/>
            </c:ext>
          </c:extLst>
        </c:ser>
        <c:ser>
          <c:idx val="1"/>
          <c:order val="1"/>
          <c:tx>
            <c:strRef>
              <c:f>'Figure 1.1'!$J$2</c:f>
              <c:strCache>
                <c:ptCount val="1"/>
                <c:pt idx="0">
                  <c:v>Monetary tightening and fiscal loosening</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1.1'!$H$3:$H$5</c:f>
              <c:numCache>
                <c:formatCode>General</c:formatCode>
                <c:ptCount val="3"/>
                <c:pt idx="0">
                  <c:v>2022</c:v>
                </c:pt>
                <c:pt idx="1">
                  <c:v>2021</c:v>
                </c:pt>
                <c:pt idx="2">
                  <c:v>2020</c:v>
                </c:pt>
              </c:numCache>
            </c:numRef>
          </c:cat>
          <c:val>
            <c:numRef>
              <c:f>'Figure 1.1'!$J$3:$J$5</c:f>
              <c:numCache>
                <c:formatCode>0</c:formatCode>
                <c:ptCount val="3"/>
                <c:pt idx="0">
                  <c:v>18.840579710144929</c:v>
                </c:pt>
                <c:pt idx="1">
                  <c:v>4.3478260869565215</c:v>
                </c:pt>
                <c:pt idx="2">
                  <c:v>17.391304347826086</c:v>
                </c:pt>
              </c:numCache>
            </c:numRef>
          </c:val>
          <c:extLst>
            <c:ext xmlns:c16="http://schemas.microsoft.com/office/drawing/2014/chart" uri="{C3380CC4-5D6E-409C-BE32-E72D297353CC}">
              <c16:uniqueId val="{00000001-D932-46AF-92BD-0B94EBA550EC}"/>
            </c:ext>
          </c:extLst>
        </c:ser>
        <c:ser>
          <c:idx val="2"/>
          <c:order val="2"/>
          <c:tx>
            <c:strRef>
              <c:f>'Figure 1.1'!$K$2</c:f>
              <c:strCache>
                <c:ptCount val="1"/>
                <c:pt idx="0">
                  <c:v>Monetary loosening and fiscal tightening</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1.1'!$H$3:$H$5</c:f>
              <c:numCache>
                <c:formatCode>General</c:formatCode>
                <c:ptCount val="3"/>
                <c:pt idx="0">
                  <c:v>2022</c:v>
                </c:pt>
                <c:pt idx="1">
                  <c:v>2021</c:v>
                </c:pt>
                <c:pt idx="2">
                  <c:v>2020</c:v>
                </c:pt>
              </c:numCache>
            </c:numRef>
          </c:cat>
          <c:val>
            <c:numRef>
              <c:f>'Figure 1.1'!$K$3:$K$5</c:f>
              <c:numCache>
                <c:formatCode>0</c:formatCode>
                <c:ptCount val="3"/>
                <c:pt idx="0">
                  <c:v>4.3478260869565215</c:v>
                </c:pt>
                <c:pt idx="1">
                  <c:v>62.318840579710141</c:v>
                </c:pt>
                <c:pt idx="2">
                  <c:v>4.3478260869565215</c:v>
                </c:pt>
              </c:numCache>
            </c:numRef>
          </c:val>
          <c:extLst>
            <c:ext xmlns:c16="http://schemas.microsoft.com/office/drawing/2014/chart" uri="{C3380CC4-5D6E-409C-BE32-E72D297353CC}">
              <c16:uniqueId val="{00000002-D932-46AF-92BD-0B94EBA550EC}"/>
            </c:ext>
          </c:extLst>
        </c:ser>
        <c:ser>
          <c:idx val="3"/>
          <c:order val="3"/>
          <c:tx>
            <c:strRef>
              <c:f>'Figure 1.1'!$L$2</c:f>
              <c:strCache>
                <c:ptCount val="1"/>
                <c:pt idx="0">
                  <c:v>Monetary and fiscal tightening</c:v>
                </c:pt>
              </c:strCache>
            </c:strRef>
          </c:tx>
          <c:spPr>
            <a:solidFill>
              <a:schemeClr val="accent6">
                <a:lumMod val="75000"/>
              </a:schemeClr>
            </a:solidFill>
            <a:ln>
              <a:noFill/>
            </a:ln>
            <a:effectLst/>
          </c:spPr>
          <c:invertIfNegative val="0"/>
          <c:dLbls>
            <c:dLbl>
              <c:idx val="2"/>
              <c:layout>
                <c:manualLayout>
                  <c:x val="-1.46486681068941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32-46AF-92BD-0B94EBA550EC}"/>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1.1'!$H$3:$H$5</c:f>
              <c:numCache>
                <c:formatCode>General</c:formatCode>
                <c:ptCount val="3"/>
                <c:pt idx="0">
                  <c:v>2022</c:v>
                </c:pt>
                <c:pt idx="1">
                  <c:v>2021</c:v>
                </c:pt>
                <c:pt idx="2">
                  <c:v>2020</c:v>
                </c:pt>
              </c:numCache>
            </c:numRef>
          </c:cat>
          <c:val>
            <c:numRef>
              <c:f>'Figure 1.1'!$L$3:$L$5</c:f>
              <c:numCache>
                <c:formatCode>0</c:formatCode>
                <c:ptCount val="3"/>
                <c:pt idx="0">
                  <c:v>73.91304347826086</c:v>
                </c:pt>
                <c:pt idx="1">
                  <c:v>26.086956521739129</c:v>
                </c:pt>
                <c:pt idx="2">
                  <c:v>1.4492753623188406</c:v>
                </c:pt>
              </c:numCache>
            </c:numRef>
          </c:val>
          <c:extLst>
            <c:ext xmlns:c16="http://schemas.microsoft.com/office/drawing/2014/chart" uri="{C3380CC4-5D6E-409C-BE32-E72D297353CC}">
              <c16:uniqueId val="{00000004-D932-46AF-92BD-0B94EBA550EC}"/>
            </c:ext>
          </c:extLst>
        </c:ser>
        <c:dLbls>
          <c:showLegendKey val="0"/>
          <c:showVal val="0"/>
          <c:showCatName val="0"/>
          <c:showSerName val="0"/>
          <c:showPercent val="0"/>
          <c:showBubbleSize val="0"/>
        </c:dLbls>
        <c:gapWidth val="150"/>
        <c:overlap val="100"/>
        <c:axId val="1002819199"/>
        <c:axId val="1002822111"/>
      </c:barChart>
      <c:catAx>
        <c:axId val="1002819199"/>
        <c:scaling>
          <c:orientation val="minMax"/>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1002822111"/>
        <c:crosses val="autoZero"/>
        <c:auto val="1"/>
        <c:lblAlgn val="ctr"/>
        <c:lblOffset val="100"/>
        <c:noMultiLvlLbl val="0"/>
      </c:catAx>
      <c:valAx>
        <c:axId val="1002822111"/>
        <c:scaling>
          <c:orientation val="minMax"/>
        </c:scaling>
        <c:delete val="1"/>
        <c:axPos val="b"/>
        <c:majorGridlines>
          <c:spPr>
            <a:ln w="9525" cap="flat" cmpd="sng" algn="ctr">
              <a:solidFill>
                <a:schemeClr val="bg1">
                  <a:lumMod val="65000"/>
                </a:schemeClr>
              </a:solidFill>
              <a:round/>
            </a:ln>
            <a:effectLst/>
          </c:spPr>
        </c:majorGridlines>
        <c:numFmt formatCode="#,##0" sourceLinked="0"/>
        <c:majorTickMark val="none"/>
        <c:minorTickMark val="none"/>
        <c:tickLblPos val="nextTo"/>
        <c:crossAx val="1002819199"/>
        <c:crosses val="autoZero"/>
        <c:crossBetween val="between"/>
      </c:valAx>
      <c:spPr>
        <a:noFill/>
        <a:ln>
          <a:noFill/>
        </a:ln>
        <a:effectLst/>
      </c:spPr>
    </c:plotArea>
    <c:legend>
      <c:legendPos val="b"/>
      <c:layout>
        <c:manualLayout>
          <c:xMode val="edge"/>
          <c:yMode val="edge"/>
          <c:x val="1.423018704095173E-2"/>
          <c:y val="1.2282403999096438E-2"/>
          <c:w val="0.98030937936331697"/>
          <c:h val="0.2220959207296876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17636331842815E-2"/>
          <c:y val="4.177564376670375E-2"/>
          <c:w val="0.88924767515701642"/>
          <c:h val="0.82802711895608549"/>
        </c:manualLayout>
      </c:layout>
      <c:barChart>
        <c:barDir val="col"/>
        <c:grouping val="clustered"/>
        <c:varyColors val="0"/>
        <c:ser>
          <c:idx val="2"/>
          <c:order val="1"/>
          <c:tx>
            <c:strRef>
              <c:f>'Figure 1.6'!$B$7</c:f>
              <c:strCache>
                <c:ptCount val="1"/>
                <c:pt idx="0">
                  <c:v>US</c:v>
                </c:pt>
              </c:strCache>
            </c:strRef>
          </c:tx>
          <c:spPr>
            <a:solidFill>
              <a:schemeClr val="accent1"/>
            </a:solidFill>
            <a:ln>
              <a:noFill/>
            </a:ln>
            <a:effectLst/>
          </c:spPr>
          <c:invertIfNegative val="0"/>
          <c:cat>
            <c:numRef>
              <c:extLst>
                <c:ext xmlns:c15="http://schemas.microsoft.com/office/drawing/2012/chart" uri="{02D57815-91ED-43cb-92C2-25804820EDAC}">
                  <c15:fullRef>
                    <c15:sqref>'Figure 1.6'!$C$2:$J$2</c15:sqref>
                  </c15:fullRef>
                </c:ext>
              </c:extLst>
              <c:f>'Figure 1.6'!$C$2:$I$2</c:f>
              <c:numCache>
                <c:formatCode>0</c:formatCode>
                <c:ptCount val="7"/>
                <c:pt idx="0">
                  <c:v>2019</c:v>
                </c:pt>
                <c:pt idx="1">
                  <c:v>2020</c:v>
                </c:pt>
                <c:pt idx="2">
                  <c:v>2021</c:v>
                </c:pt>
                <c:pt idx="3">
                  <c:v>2022</c:v>
                </c:pt>
                <c:pt idx="4">
                  <c:v>2023</c:v>
                </c:pt>
                <c:pt idx="5">
                  <c:v>2024</c:v>
                </c:pt>
                <c:pt idx="6">
                  <c:v>2025</c:v>
                </c:pt>
              </c:numCache>
            </c:numRef>
          </c:cat>
          <c:val>
            <c:numRef>
              <c:extLst>
                <c:ext xmlns:c15="http://schemas.microsoft.com/office/drawing/2012/chart" uri="{02D57815-91ED-43cb-92C2-25804820EDAC}">
                  <c15:fullRef>
                    <c15:sqref>'Figure 1.6'!$C$7:$J$7</c15:sqref>
                  </c15:fullRef>
                </c:ext>
              </c:extLst>
              <c:f>'Figure 1.6'!$C$7:$I$7</c:f>
              <c:numCache>
                <c:formatCode>0.0</c:formatCode>
                <c:ptCount val="7"/>
                <c:pt idx="0">
                  <c:v>0.80474279620362399</c:v>
                </c:pt>
                <c:pt idx="1">
                  <c:v>4.9733749554900797</c:v>
                </c:pt>
                <c:pt idx="2">
                  <c:v>-0.30671591242920648</c:v>
                </c:pt>
                <c:pt idx="3">
                  <c:v>-4.5606779638933928</c:v>
                </c:pt>
                <c:pt idx="4">
                  <c:v>0.33756037669372052</c:v>
                </c:pt>
                <c:pt idx="5">
                  <c:v>-0.16287518303266513</c:v>
                </c:pt>
                <c:pt idx="6">
                  <c:v>0.10279910950938032</c:v>
                </c:pt>
              </c:numCache>
            </c:numRef>
          </c:val>
          <c:extLst>
            <c:ext xmlns:c16="http://schemas.microsoft.com/office/drawing/2014/chart" uri="{C3380CC4-5D6E-409C-BE32-E72D297353CC}">
              <c16:uniqueId val="{00000000-51C1-4BD4-9E4D-184712FCD621}"/>
            </c:ext>
          </c:extLst>
        </c:ser>
        <c:ser>
          <c:idx val="1"/>
          <c:order val="2"/>
          <c:tx>
            <c:strRef>
              <c:f>'Figure 1.6'!$B$6</c:f>
              <c:strCache>
                <c:ptCount val="1"/>
                <c:pt idx="0">
                  <c:v>UK</c:v>
                </c:pt>
              </c:strCache>
            </c:strRef>
          </c:tx>
          <c:spPr>
            <a:solidFill>
              <a:schemeClr val="accent6">
                <a:lumMod val="75000"/>
              </a:schemeClr>
            </a:solidFill>
            <a:ln>
              <a:noFill/>
            </a:ln>
            <a:effectLst/>
          </c:spPr>
          <c:invertIfNegative val="0"/>
          <c:cat>
            <c:strLit>
              <c:ptCount val="7"/>
              <c:pt idx="0">
                <c:v>2019</c:v>
              </c:pt>
              <c:pt idx="1">
                <c:v>20</c:v>
              </c:pt>
              <c:pt idx="2">
                <c:v>21</c:v>
              </c:pt>
              <c:pt idx="3">
                <c:v>22</c:v>
              </c:pt>
              <c:pt idx="4">
                <c:v>23</c:v>
              </c:pt>
              <c:pt idx="5">
                <c:v>24</c:v>
              </c:pt>
              <c:pt idx="6">
                <c:v>25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1.6'!$C$6:$J$6</c15:sqref>
                  </c15:fullRef>
                </c:ext>
              </c:extLst>
              <c:f>'Figure 1.6'!$C$6:$I$6</c:f>
              <c:numCache>
                <c:formatCode>0.0</c:formatCode>
                <c:ptCount val="7"/>
                <c:pt idx="0">
                  <c:v>0.51750732885231765</c:v>
                </c:pt>
                <c:pt idx="1">
                  <c:v>9.3938354766742105</c:v>
                </c:pt>
                <c:pt idx="2">
                  <c:v>-4.2145163388741071</c:v>
                </c:pt>
                <c:pt idx="3">
                  <c:v>-1.7602955161702538</c:v>
                </c:pt>
                <c:pt idx="4">
                  <c:v>-0.43370523421176355</c:v>
                </c:pt>
                <c:pt idx="5">
                  <c:v>-1.294704510008168</c:v>
                </c:pt>
                <c:pt idx="6">
                  <c:v>-0.23988052308254804</c:v>
                </c:pt>
              </c:numCache>
            </c:numRef>
          </c:val>
          <c:extLst>
            <c:ext xmlns:c16="http://schemas.microsoft.com/office/drawing/2014/chart" uri="{C3380CC4-5D6E-409C-BE32-E72D297353CC}">
              <c16:uniqueId val="{00000001-51C1-4BD4-9E4D-184712FCD621}"/>
            </c:ext>
          </c:extLst>
        </c:ser>
        <c:ser>
          <c:idx val="3"/>
          <c:order val="3"/>
          <c:tx>
            <c:strRef>
              <c:f>'Figure 1.6'!$B$8</c:f>
              <c:strCache>
                <c:ptCount val="1"/>
                <c:pt idx="0">
                  <c:v>EA</c:v>
                </c:pt>
              </c:strCache>
            </c:strRef>
          </c:tx>
          <c:spPr>
            <a:solidFill>
              <a:srgbClr val="C00000"/>
            </a:solidFill>
            <a:ln>
              <a:noFill/>
            </a:ln>
            <a:effectLst/>
          </c:spPr>
          <c:invertIfNegative val="0"/>
          <c:cat>
            <c:numRef>
              <c:extLst>
                <c:ext xmlns:c15="http://schemas.microsoft.com/office/drawing/2012/chart" uri="{02D57815-91ED-43cb-92C2-25804820EDAC}">
                  <c15:fullRef>
                    <c15:sqref>'Figure 1.6'!$C$2:$J$2</c15:sqref>
                  </c15:fullRef>
                </c:ext>
              </c:extLst>
              <c:f>'Figure 1.6'!$C$2:$I$2</c:f>
              <c:numCache>
                <c:formatCode>0</c:formatCode>
                <c:ptCount val="7"/>
                <c:pt idx="0">
                  <c:v>2019</c:v>
                </c:pt>
                <c:pt idx="1">
                  <c:v>2020</c:v>
                </c:pt>
                <c:pt idx="2">
                  <c:v>2021</c:v>
                </c:pt>
                <c:pt idx="3">
                  <c:v>2022</c:v>
                </c:pt>
                <c:pt idx="4">
                  <c:v>2023</c:v>
                </c:pt>
                <c:pt idx="5">
                  <c:v>2024</c:v>
                </c:pt>
                <c:pt idx="6">
                  <c:v>2025</c:v>
                </c:pt>
              </c:numCache>
            </c:numRef>
          </c:cat>
          <c:val>
            <c:numRef>
              <c:extLst>
                <c:ext xmlns:c15="http://schemas.microsoft.com/office/drawing/2012/chart" uri="{02D57815-91ED-43cb-92C2-25804820EDAC}">
                  <c15:fullRef>
                    <c15:sqref>'Figure 1.6'!$C$8:$J$8</c15:sqref>
                  </c15:fullRef>
                </c:ext>
              </c:extLst>
              <c:f>'Figure 1.6'!$C$8:$I$8</c:f>
              <c:numCache>
                <c:formatCode>0.0</c:formatCode>
                <c:ptCount val="7"/>
                <c:pt idx="0">
                  <c:v>0.57784636552139457</c:v>
                </c:pt>
                <c:pt idx="1">
                  <c:v>3.7841187259271249</c:v>
                </c:pt>
                <c:pt idx="2">
                  <c:v>-0.20960732996545017</c:v>
                </c:pt>
                <c:pt idx="3">
                  <c:v>-0.50089678680926752</c:v>
                </c:pt>
                <c:pt idx="4">
                  <c:v>-0.4422717322619194</c:v>
                </c:pt>
                <c:pt idx="5">
                  <c:v>-1.0452436745304723</c:v>
                </c:pt>
                <c:pt idx="6">
                  <c:v>-0.41840697134955557</c:v>
                </c:pt>
              </c:numCache>
            </c:numRef>
          </c:val>
          <c:extLst>
            <c:ext xmlns:c16="http://schemas.microsoft.com/office/drawing/2014/chart" uri="{C3380CC4-5D6E-409C-BE32-E72D297353CC}">
              <c16:uniqueId val="{00000002-51C1-4BD4-9E4D-184712FCD621}"/>
            </c:ext>
          </c:extLst>
        </c:ser>
        <c:ser>
          <c:idx val="4"/>
          <c:order val="4"/>
          <c:tx>
            <c:strRef>
              <c:f>'Figure 1.6'!$B$9</c:f>
              <c:strCache>
                <c:ptCount val="1"/>
                <c:pt idx="0">
                  <c:v>Japan</c:v>
                </c:pt>
              </c:strCache>
            </c:strRef>
          </c:tx>
          <c:spPr>
            <a:solidFill>
              <a:srgbClr val="7030A0"/>
            </a:solidFill>
            <a:ln>
              <a:noFill/>
            </a:ln>
            <a:effectLst/>
          </c:spPr>
          <c:invertIfNegative val="0"/>
          <c:cat>
            <c:numRef>
              <c:extLst>
                <c:ext xmlns:c15="http://schemas.microsoft.com/office/drawing/2012/chart" uri="{02D57815-91ED-43cb-92C2-25804820EDAC}">
                  <c15:fullRef>
                    <c15:sqref>'Figure 1.6'!$C$2:$J$2</c15:sqref>
                  </c15:fullRef>
                </c:ext>
              </c:extLst>
              <c:f>'Figure 1.6'!$C$2:$I$2</c:f>
              <c:numCache>
                <c:formatCode>0</c:formatCode>
                <c:ptCount val="7"/>
                <c:pt idx="0">
                  <c:v>2019</c:v>
                </c:pt>
                <c:pt idx="1">
                  <c:v>2020</c:v>
                </c:pt>
                <c:pt idx="2">
                  <c:v>2021</c:v>
                </c:pt>
                <c:pt idx="3">
                  <c:v>2022</c:v>
                </c:pt>
                <c:pt idx="4">
                  <c:v>2023</c:v>
                </c:pt>
                <c:pt idx="5">
                  <c:v>2024</c:v>
                </c:pt>
                <c:pt idx="6">
                  <c:v>2025</c:v>
                </c:pt>
              </c:numCache>
            </c:numRef>
          </c:cat>
          <c:val>
            <c:numRef>
              <c:extLst>
                <c:ext xmlns:c15="http://schemas.microsoft.com/office/drawing/2012/chart" uri="{02D57815-91ED-43cb-92C2-25804820EDAC}">
                  <c15:fullRef>
                    <c15:sqref>'Figure 1.6'!$C$9:$J$9</c15:sqref>
                  </c15:fullRef>
                </c:ext>
              </c:extLst>
              <c:f>'Figure 1.6'!$C$9:$I$9</c:f>
              <c:numCache>
                <c:formatCode>0.0</c:formatCode>
                <c:ptCount val="7"/>
                <c:pt idx="0">
                  <c:v>0.40739022946758485</c:v>
                </c:pt>
                <c:pt idx="1">
                  <c:v>4.8663094291630067</c:v>
                </c:pt>
                <c:pt idx="2">
                  <c:v>-1.9019524805405839</c:v>
                </c:pt>
                <c:pt idx="3">
                  <c:v>1.8104977841303</c:v>
                </c:pt>
                <c:pt idx="4">
                  <c:v>-1.2029386884228517</c:v>
                </c:pt>
                <c:pt idx="5">
                  <c:v>-2.2714206322433768</c:v>
                </c:pt>
                <c:pt idx="6">
                  <c:v>-1.179930602778871</c:v>
                </c:pt>
              </c:numCache>
            </c:numRef>
          </c:val>
          <c:extLst>
            <c:ext xmlns:c16="http://schemas.microsoft.com/office/drawing/2014/chart" uri="{C3380CC4-5D6E-409C-BE32-E72D297353CC}">
              <c16:uniqueId val="{00000003-51C1-4BD4-9E4D-184712FCD621}"/>
            </c:ext>
          </c:extLst>
        </c:ser>
        <c:dLbls>
          <c:showLegendKey val="0"/>
          <c:showVal val="0"/>
          <c:showCatName val="0"/>
          <c:showSerName val="0"/>
          <c:showPercent val="0"/>
          <c:showBubbleSize val="0"/>
        </c:dLbls>
        <c:gapWidth val="150"/>
        <c:axId val="641158432"/>
        <c:axId val="641145120"/>
      </c:barChart>
      <c:lineChart>
        <c:grouping val="standard"/>
        <c:varyColors val="0"/>
        <c:ser>
          <c:idx val="0"/>
          <c:order val="0"/>
          <c:tx>
            <c:strRef>
              <c:f>'Figure 1.6'!$B$5</c:f>
              <c:strCache>
                <c:ptCount val="1"/>
                <c:pt idx="0">
                  <c:v>AE average</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'Figure 1.6'!$C$4:$J$4</c15:sqref>
                  </c15:fullRef>
                </c:ext>
              </c:extLst>
              <c:f>'Figure 1.6'!$C$4:$I$4</c:f>
              <c:numCache>
                <c:formatCode>General</c:formatCode>
                <c:ptCount val="7"/>
                <c:pt idx="0">
                  <c:v>2019</c:v>
                </c:pt>
                <c:pt idx="1">
                  <c:v>20</c:v>
                </c:pt>
                <c:pt idx="2">
                  <c:v>21</c:v>
                </c:pt>
                <c:pt idx="3">
                  <c:v>22</c:v>
                </c:pt>
                <c:pt idx="4">
                  <c:v>23</c:v>
                </c:pt>
                <c:pt idx="5">
                  <c:v>24</c:v>
                </c:pt>
                <c:pt idx="6">
                  <c:v>25</c:v>
                </c:pt>
              </c:numCache>
            </c:numRef>
          </c:cat>
          <c:val>
            <c:numRef>
              <c:extLst>
                <c:ext xmlns:c15="http://schemas.microsoft.com/office/drawing/2012/chart" uri="{02D57815-91ED-43cb-92C2-25804820EDAC}">
                  <c15:fullRef>
                    <c15:sqref>'Figure 1.6'!$C$5:$J$5</c15:sqref>
                  </c15:fullRef>
                </c:ext>
              </c:extLst>
              <c:f>'Figure 1.6'!$C$5:$I$5</c:f>
              <c:numCache>
                <c:formatCode>0.0</c:formatCode>
                <c:ptCount val="7"/>
                <c:pt idx="0">
                  <c:v>0.78994119422478803</c:v>
                </c:pt>
                <c:pt idx="1">
                  <c:v>4.7853531662111841</c:v>
                </c:pt>
                <c:pt idx="2">
                  <c:v>-1.0533090658414679</c:v>
                </c:pt>
                <c:pt idx="3">
                  <c:v>-2.1283172628852762</c:v>
                </c:pt>
                <c:pt idx="4">
                  <c:v>-0.19200345025064625</c:v>
                </c:pt>
                <c:pt idx="5">
                  <c:v>-0.63285147368055839</c:v>
                </c:pt>
                <c:pt idx="6">
                  <c:v>-0.17183578706871483</c:v>
                </c:pt>
              </c:numCache>
            </c:numRef>
          </c:val>
          <c:smooth val="0"/>
          <c:extLst>
            <c:ext xmlns:c16="http://schemas.microsoft.com/office/drawing/2014/chart" uri="{C3380CC4-5D6E-409C-BE32-E72D297353CC}">
              <c16:uniqueId val="{00000004-51C1-4BD4-9E4D-184712FCD621}"/>
            </c:ext>
          </c:extLst>
        </c:ser>
        <c:dLbls>
          <c:showLegendKey val="0"/>
          <c:showVal val="0"/>
          <c:showCatName val="0"/>
          <c:showSerName val="0"/>
          <c:showPercent val="0"/>
          <c:showBubbleSize val="0"/>
        </c:dLbls>
        <c:marker val="1"/>
        <c:smooth val="0"/>
        <c:axId val="641158432"/>
        <c:axId val="641145120"/>
      </c:lineChart>
      <c:catAx>
        <c:axId val="641158432"/>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641145120"/>
        <c:crosses val="autoZero"/>
        <c:auto val="1"/>
        <c:lblAlgn val="ctr"/>
        <c:lblOffset val="100"/>
        <c:noMultiLvlLbl val="0"/>
      </c:catAx>
      <c:valAx>
        <c:axId val="641145120"/>
        <c:scaling>
          <c:orientation val="minMax"/>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641158432"/>
        <c:crosses val="autoZero"/>
        <c:crossBetween val="between"/>
      </c:valAx>
      <c:spPr>
        <a:noFill/>
        <a:ln w="25400">
          <a:noFill/>
        </a:ln>
        <a:effectLst/>
      </c:spPr>
    </c:plotArea>
    <c:legend>
      <c:legendPos val="b"/>
      <c:layout>
        <c:manualLayout>
          <c:xMode val="edge"/>
          <c:yMode val="edge"/>
          <c:x val="0.11226713119917033"/>
          <c:y val="4.8466877746975223E-2"/>
          <c:w val="0.85955673861466353"/>
          <c:h val="8.944680624293481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283308081661142E-2"/>
          <c:y val="5.5874789963202477E-2"/>
          <c:w val="0.88268793144456448"/>
          <c:h val="0.73617806229760485"/>
        </c:manualLayout>
      </c:layout>
      <c:barChart>
        <c:barDir val="col"/>
        <c:grouping val="stacked"/>
        <c:varyColors val="0"/>
        <c:ser>
          <c:idx val="0"/>
          <c:order val="0"/>
          <c:tx>
            <c:strRef>
              <c:f>'Figure 1.7'!$E$1</c:f>
              <c:strCache>
                <c:ptCount val="1"/>
                <c:pt idx="0">
                  <c:v>Revenue</c:v>
                </c:pt>
              </c:strCache>
            </c:strRef>
          </c:tx>
          <c:spPr>
            <a:solidFill>
              <a:srgbClr val="0070C0"/>
            </a:solidFill>
            <a:ln w="3175">
              <a:noFill/>
              <a:prstDash val="solid"/>
            </a:ln>
            <a:effectLst/>
          </c:spPr>
          <c:invertIfNegative val="0"/>
          <c:cat>
            <c:multiLvlStrRef>
              <c:f>'Figure 1.7'!$C$2:$D$12</c:f>
              <c:multiLvlStrCache>
                <c:ptCount val="11"/>
                <c:lvl>
                  <c:pt idx="0">
                    <c:v>2022</c:v>
                  </c:pt>
                  <c:pt idx="1">
                    <c:v>2023</c:v>
                  </c:pt>
                  <c:pt idx="3">
                    <c:v>2022</c:v>
                  </c:pt>
                  <c:pt idx="4">
                    <c:v>2023</c:v>
                  </c:pt>
                  <c:pt idx="6">
                    <c:v>2022</c:v>
                  </c:pt>
                  <c:pt idx="7">
                    <c:v>2023</c:v>
                  </c:pt>
                  <c:pt idx="9">
                    <c:v>2022</c:v>
                  </c:pt>
                  <c:pt idx="10">
                    <c:v>2023</c:v>
                  </c:pt>
                </c:lvl>
                <c:lvl>
                  <c:pt idx="0">
                    <c:v>Commodity exporters</c:v>
                  </c:pt>
                  <c:pt idx="2">
                    <c:v>.</c:v>
                  </c:pt>
                  <c:pt idx="3">
                    <c:v>Others</c:v>
                  </c:pt>
                  <c:pt idx="5">
                    <c:v>.</c:v>
                  </c:pt>
                  <c:pt idx="6">
                    <c:v>China</c:v>
                  </c:pt>
                  <c:pt idx="8">
                    <c:v>.</c:v>
                  </c:pt>
                  <c:pt idx="9">
                    <c:v>Brazil</c:v>
                  </c:pt>
                </c:lvl>
              </c:multiLvlStrCache>
            </c:multiLvlStrRef>
          </c:cat>
          <c:val>
            <c:numRef>
              <c:f>'Figure 1.7'!$E$2:$E$12</c:f>
              <c:numCache>
                <c:formatCode>General</c:formatCode>
                <c:ptCount val="11"/>
                <c:pt idx="0">
                  <c:v>1.01108677199068</c:v>
                </c:pt>
                <c:pt idx="1">
                  <c:v>-1.9537941285454465</c:v>
                </c:pt>
                <c:pt idx="3">
                  <c:v>0.32378507369084275</c:v>
                </c:pt>
                <c:pt idx="4">
                  <c:v>-0.24913288366376207</c:v>
                </c:pt>
                <c:pt idx="6">
                  <c:v>-1.1040094103632505</c:v>
                </c:pt>
                <c:pt idx="7">
                  <c:v>0.10997552936773758</c:v>
                </c:pt>
                <c:pt idx="9">
                  <c:v>1.8741225755902562</c:v>
                </c:pt>
                <c:pt idx="10">
                  <c:v>-2.8974132290607031</c:v>
                </c:pt>
              </c:numCache>
            </c:numRef>
          </c:val>
          <c:extLst>
            <c:ext xmlns:c16="http://schemas.microsoft.com/office/drawing/2014/chart" uri="{C3380CC4-5D6E-409C-BE32-E72D297353CC}">
              <c16:uniqueId val="{00000000-C059-44BD-B533-03BC3C14FBCE}"/>
            </c:ext>
          </c:extLst>
        </c:ser>
        <c:ser>
          <c:idx val="1"/>
          <c:order val="1"/>
          <c:tx>
            <c:strRef>
              <c:f>'Figure 1.7'!$F$1</c:f>
              <c:strCache>
                <c:ptCount val="1"/>
                <c:pt idx="0">
                  <c:v>Interest expense</c:v>
                </c:pt>
              </c:strCache>
            </c:strRef>
          </c:tx>
          <c:spPr>
            <a:solidFill>
              <a:srgbClr val="C00000"/>
            </a:solidFill>
            <a:ln w="3175">
              <a:noFill/>
              <a:prstDash val="solid"/>
            </a:ln>
            <a:effectLst/>
          </c:spPr>
          <c:invertIfNegative val="0"/>
          <c:cat>
            <c:multiLvlStrRef>
              <c:f>'Figure 1.7'!$C$2:$D$12</c:f>
              <c:multiLvlStrCache>
                <c:ptCount val="11"/>
                <c:lvl>
                  <c:pt idx="0">
                    <c:v>2022</c:v>
                  </c:pt>
                  <c:pt idx="1">
                    <c:v>2023</c:v>
                  </c:pt>
                  <c:pt idx="3">
                    <c:v>2022</c:v>
                  </c:pt>
                  <c:pt idx="4">
                    <c:v>2023</c:v>
                  </c:pt>
                  <c:pt idx="6">
                    <c:v>2022</c:v>
                  </c:pt>
                  <c:pt idx="7">
                    <c:v>2023</c:v>
                  </c:pt>
                  <c:pt idx="9">
                    <c:v>2022</c:v>
                  </c:pt>
                  <c:pt idx="10">
                    <c:v>2023</c:v>
                  </c:pt>
                </c:lvl>
                <c:lvl>
                  <c:pt idx="0">
                    <c:v>Commodity exporters</c:v>
                  </c:pt>
                  <c:pt idx="2">
                    <c:v>.</c:v>
                  </c:pt>
                  <c:pt idx="3">
                    <c:v>Others</c:v>
                  </c:pt>
                  <c:pt idx="5">
                    <c:v>.</c:v>
                  </c:pt>
                  <c:pt idx="6">
                    <c:v>China</c:v>
                  </c:pt>
                  <c:pt idx="8">
                    <c:v>.</c:v>
                  </c:pt>
                  <c:pt idx="9">
                    <c:v>Brazil</c:v>
                  </c:pt>
                </c:lvl>
              </c:multiLvlStrCache>
            </c:multiLvlStrRef>
          </c:cat>
          <c:val>
            <c:numRef>
              <c:f>'Figure 1.7'!$F$2:$F$12</c:f>
              <c:numCache>
                <c:formatCode>General</c:formatCode>
                <c:ptCount val="11"/>
                <c:pt idx="0">
                  <c:v>3.0261824130731751E-2</c:v>
                </c:pt>
                <c:pt idx="1">
                  <c:v>-0.24401934709100082</c:v>
                </c:pt>
                <c:pt idx="3">
                  <c:v>-0.12979672635083306</c:v>
                </c:pt>
                <c:pt idx="4">
                  <c:v>-0.22481296728791023</c:v>
                </c:pt>
                <c:pt idx="6">
                  <c:v>-1.9232010870789296E-2</c:v>
                </c:pt>
                <c:pt idx="7">
                  <c:v>-0.17271643098797007</c:v>
                </c:pt>
                <c:pt idx="9">
                  <c:v>-1.3501915958412525</c:v>
                </c:pt>
                <c:pt idx="10">
                  <c:v>-0.42135371023102586</c:v>
                </c:pt>
              </c:numCache>
            </c:numRef>
          </c:val>
          <c:extLst>
            <c:ext xmlns:c16="http://schemas.microsoft.com/office/drawing/2014/chart" uri="{C3380CC4-5D6E-409C-BE32-E72D297353CC}">
              <c16:uniqueId val="{00000001-C059-44BD-B533-03BC3C14FBCE}"/>
            </c:ext>
          </c:extLst>
        </c:ser>
        <c:ser>
          <c:idx val="2"/>
          <c:order val="2"/>
          <c:tx>
            <c:strRef>
              <c:f>'Figure 1.7'!$G$1</c:f>
              <c:strCache>
                <c:ptCount val="1"/>
                <c:pt idx="0">
                  <c:v>Primary expenditure</c:v>
                </c:pt>
              </c:strCache>
            </c:strRef>
          </c:tx>
          <c:spPr>
            <a:solidFill>
              <a:srgbClr val="FFC000"/>
            </a:solidFill>
            <a:ln w="3175">
              <a:noFill/>
              <a:prstDash val="solid"/>
            </a:ln>
            <a:effectLst/>
          </c:spPr>
          <c:invertIfNegative val="0"/>
          <c:cat>
            <c:multiLvlStrRef>
              <c:f>'Figure 1.7'!$C$2:$D$12</c:f>
              <c:multiLvlStrCache>
                <c:ptCount val="11"/>
                <c:lvl>
                  <c:pt idx="0">
                    <c:v>2022</c:v>
                  </c:pt>
                  <c:pt idx="1">
                    <c:v>2023</c:v>
                  </c:pt>
                  <c:pt idx="3">
                    <c:v>2022</c:v>
                  </c:pt>
                  <c:pt idx="4">
                    <c:v>2023</c:v>
                  </c:pt>
                  <c:pt idx="6">
                    <c:v>2022</c:v>
                  </c:pt>
                  <c:pt idx="7">
                    <c:v>2023</c:v>
                  </c:pt>
                  <c:pt idx="9">
                    <c:v>2022</c:v>
                  </c:pt>
                  <c:pt idx="10">
                    <c:v>2023</c:v>
                  </c:pt>
                </c:lvl>
                <c:lvl>
                  <c:pt idx="0">
                    <c:v>Commodity exporters</c:v>
                  </c:pt>
                  <c:pt idx="2">
                    <c:v>.</c:v>
                  </c:pt>
                  <c:pt idx="3">
                    <c:v>Others</c:v>
                  </c:pt>
                  <c:pt idx="5">
                    <c:v>.</c:v>
                  </c:pt>
                  <c:pt idx="6">
                    <c:v>China</c:v>
                  </c:pt>
                  <c:pt idx="8">
                    <c:v>.</c:v>
                  </c:pt>
                  <c:pt idx="9">
                    <c:v>Brazil</c:v>
                  </c:pt>
                </c:lvl>
              </c:multiLvlStrCache>
            </c:multiLvlStrRef>
          </c:cat>
          <c:val>
            <c:numRef>
              <c:f>'Figure 1.7'!$G$2:$G$12</c:f>
              <c:numCache>
                <c:formatCode>General</c:formatCode>
                <c:ptCount val="11"/>
                <c:pt idx="0">
                  <c:v>1.0661507886807797</c:v>
                </c:pt>
                <c:pt idx="1">
                  <c:v>-0.89722399093787431</c:v>
                </c:pt>
                <c:pt idx="3">
                  <c:v>5.2653699049677982E-2</c:v>
                </c:pt>
                <c:pt idx="4">
                  <c:v>0.82084459799321863</c:v>
                </c:pt>
                <c:pt idx="6">
                  <c:v>-0.37525470170225717</c:v>
                </c:pt>
                <c:pt idx="7">
                  <c:v>0.72852594169812335</c:v>
                </c:pt>
                <c:pt idx="9">
                  <c:v>-0.79796590066252548</c:v>
                </c:pt>
                <c:pt idx="10">
                  <c:v>-0.90520532361689732</c:v>
                </c:pt>
              </c:numCache>
            </c:numRef>
          </c:val>
          <c:extLst>
            <c:ext xmlns:c16="http://schemas.microsoft.com/office/drawing/2014/chart" uri="{C3380CC4-5D6E-409C-BE32-E72D297353CC}">
              <c16:uniqueId val="{00000002-C059-44BD-B533-03BC3C14FBCE}"/>
            </c:ext>
          </c:extLst>
        </c:ser>
        <c:dLbls>
          <c:showLegendKey val="0"/>
          <c:showVal val="0"/>
          <c:showCatName val="0"/>
          <c:showSerName val="0"/>
          <c:showPercent val="0"/>
          <c:showBubbleSize val="0"/>
        </c:dLbls>
        <c:gapWidth val="100"/>
        <c:overlap val="100"/>
        <c:axId val="674013568"/>
        <c:axId val="674015104"/>
      </c:barChart>
      <c:lineChart>
        <c:grouping val="standard"/>
        <c:varyColors val="0"/>
        <c:ser>
          <c:idx val="3"/>
          <c:order val="3"/>
          <c:tx>
            <c:strRef>
              <c:f>'Figure 1.7'!$H$1</c:f>
              <c:strCache>
                <c:ptCount val="1"/>
                <c:pt idx="0">
                  <c:v>Fiscal balance</c:v>
                </c:pt>
              </c:strCache>
            </c:strRef>
          </c:tx>
          <c:spPr>
            <a:ln w="3175">
              <a:noFill/>
              <a:prstDash val="solid"/>
            </a:ln>
            <a:effectLst/>
          </c:spPr>
          <c:marker>
            <c:symbol val="diamond"/>
            <c:size val="17"/>
            <c:spPr>
              <a:solidFill>
                <a:sysClr val="windowText" lastClr="000000"/>
              </a:solidFill>
              <a:ln>
                <a:solidFill>
                  <a:srgbClr val="000000"/>
                </a:solidFill>
              </a:ln>
            </c:spPr>
          </c:marker>
          <c:cat>
            <c:multiLvlStrRef>
              <c:f>'Figure 1.7'!$C$2:$D$12</c:f>
              <c:multiLvlStrCache>
                <c:ptCount val="11"/>
                <c:lvl>
                  <c:pt idx="0">
                    <c:v>2022</c:v>
                  </c:pt>
                  <c:pt idx="1">
                    <c:v>2023</c:v>
                  </c:pt>
                  <c:pt idx="3">
                    <c:v>2022</c:v>
                  </c:pt>
                  <c:pt idx="4">
                    <c:v>2023</c:v>
                  </c:pt>
                  <c:pt idx="6">
                    <c:v>2022</c:v>
                  </c:pt>
                  <c:pt idx="7">
                    <c:v>2023</c:v>
                  </c:pt>
                  <c:pt idx="9">
                    <c:v>2022</c:v>
                  </c:pt>
                  <c:pt idx="10">
                    <c:v>2023</c:v>
                  </c:pt>
                </c:lvl>
                <c:lvl>
                  <c:pt idx="0">
                    <c:v>Commodity exporters</c:v>
                  </c:pt>
                  <c:pt idx="2">
                    <c:v>.</c:v>
                  </c:pt>
                  <c:pt idx="3">
                    <c:v>Others</c:v>
                  </c:pt>
                  <c:pt idx="5">
                    <c:v>.</c:v>
                  </c:pt>
                  <c:pt idx="6">
                    <c:v>China</c:v>
                  </c:pt>
                  <c:pt idx="8">
                    <c:v>.</c:v>
                  </c:pt>
                  <c:pt idx="9">
                    <c:v>Brazil</c:v>
                  </c:pt>
                </c:lvl>
              </c:multiLvlStrCache>
            </c:multiLvlStrRef>
          </c:cat>
          <c:val>
            <c:numRef>
              <c:f>'Figure 1.7'!$H$2:$H$12</c:f>
              <c:numCache>
                <c:formatCode>General</c:formatCode>
                <c:ptCount val="11"/>
                <c:pt idx="0">
                  <c:v>2.1074993848021872</c:v>
                </c:pt>
                <c:pt idx="1">
                  <c:v>-3.0950374665743103</c:v>
                </c:pt>
                <c:pt idx="3">
                  <c:v>0.2466420463896819</c:v>
                </c:pt>
                <c:pt idx="4">
                  <c:v>0.34689874704154544</c:v>
                </c:pt>
                <c:pt idx="6">
                  <c:v>-1.4984961229362925</c:v>
                </c:pt>
                <c:pt idx="7">
                  <c:v>0.66578504007789174</c:v>
                </c:pt>
                <c:pt idx="9">
                  <c:v>-0.27403492091350845</c:v>
                </c:pt>
                <c:pt idx="10">
                  <c:v>-4.2239722629086351</c:v>
                </c:pt>
              </c:numCache>
            </c:numRef>
          </c:val>
          <c:smooth val="0"/>
          <c:extLst>
            <c:ext xmlns:c16="http://schemas.microsoft.com/office/drawing/2014/chart" uri="{C3380CC4-5D6E-409C-BE32-E72D297353CC}">
              <c16:uniqueId val="{00000003-C059-44BD-B533-03BC3C14FBCE}"/>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in"/>
        <c:minorTickMark val="none"/>
        <c:tickLblPos val="low"/>
        <c:spPr>
          <a:ln w="12700">
            <a:solidFill>
              <a:sysClr val="windowText" lastClr="000000"/>
            </a:solidFill>
            <a:prstDash val="solid"/>
          </a:ln>
        </c:spPr>
        <c:txPr>
          <a:bodyPr rot="0" vert="horz"/>
          <a:lstStyle/>
          <a:p>
            <a:pPr>
              <a:defRPr sz="1400">
                <a:latin typeface="HelveticaNeueLT Std"/>
                <a:ea typeface="Segoe UI"/>
                <a:cs typeface="Segoe UI"/>
              </a:defRPr>
            </a:pPr>
            <a:endParaRPr lang="en-US"/>
          </a:p>
        </c:txPr>
        <c:crossAx val="674015104"/>
        <c:crosses val="autoZero"/>
        <c:auto val="1"/>
        <c:lblAlgn val="ctr"/>
        <c:lblOffset val="100"/>
        <c:tickMarkSkip val="1"/>
        <c:noMultiLvlLbl val="0"/>
      </c:catAx>
      <c:valAx>
        <c:axId val="674015104"/>
        <c:scaling>
          <c:orientation val="minMax"/>
        </c:scaling>
        <c:delete val="0"/>
        <c:axPos val="l"/>
        <c:numFmt formatCode="General" sourceLinked="0"/>
        <c:majorTickMark val="in"/>
        <c:minorTickMark val="none"/>
        <c:tickLblPos val="nextTo"/>
        <c:spPr>
          <a:ln w="12700">
            <a:solidFill>
              <a:sysClr val="windowText" lastClr="000000"/>
            </a:solidFill>
            <a:prstDash val="solid"/>
          </a:ln>
        </c:spPr>
        <c:txPr>
          <a:bodyPr rot="0" vert="horz"/>
          <a:lstStyle/>
          <a:p>
            <a:pPr>
              <a:defRPr sz="1800">
                <a:latin typeface="HelveticaNeueLT Std"/>
                <a:ea typeface="Segoe UI"/>
                <a:cs typeface="Segoe UI"/>
              </a:defRPr>
            </a:pPr>
            <a:endParaRPr lang="en-US"/>
          </a:p>
        </c:txPr>
        <c:crossAx val="674013568"/>
        <c:crosses val="autoZero"/>
        <c:crossBetween val="between"/>
      </c:valAx>
      <c:spPr>
        <a:noFill/>
        <a:ln w="12700">
          <a:noFill/>
          <a:prstDash val="solid"/>
        </a:ln>
      </c:spPr>
    </c:plotArea>
    <c:legend>
      <c:legendPos val="t"/>
      <c:layout>
        <c:manualLayout>
          <c:xMode val="edge"/>
          <c:yMode val="edge"/>
          <c:x val="0.20166479040938451"/>
          <c:y val="0.54614636942049977"/>
          <c:w val="0.66793158474519954"/>
          <c:h val="0.21052540736039452"/>
        </c:manualLayout>
      </c:layout>
      <c:overlay val="0"/>
      <c:spPr>
        <a:noFill/>
        <a:ln w="25400">
          <a:noFill/>
        </a:ln>
      </c:spPr>
      <c:txPr>
        <a:bodyPr/>
        <a:lstStyle/>
        <a:p>
          <a:pPr>
            <a:defRPr sz="1800">
              <a:solidFill>
                <a:sysClr val="windowText" lastClr="000000"/>
              </a:solidFill>
              <a:latin typeface="HelveticaNeueLT Std"/>
              <a:ea typeface="Segoe UI"/>
              <a:cs typeface="Segoe UI"/>
            </a:defRPr>
          </a:pPr>
          <a:endParaRPr lang="en-US"/>
        </a:p>
      </c:txPr>
    </c:legend>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144231427915178E-2"/>
          <c:y val="4.2745910279638706E-2"/>
          <c:w val="0.92040014587147456"/>
          <c:h val="0.63899798339616465"/>
        </c:manualLayout>
      </c:layout>
      <c:barChart>
        <c:barDir val="col"/>
        <c:grouping val="clustered"/>
        <c:varyColors val="0"/>
        <c:ser>
          <c:idx val="0"/>
          <c:order val="0"/>
          <c:tx>
            <c:strRef>
              <c:f>'Figure 1.8'!$B$1</c:f>
              <c:strCache>
                <c:ptCount val="1"/>
                <c:pt idx="0">
                  <c:v>Contribution of exchange rate depreciation to debt increase</c:v>
                </c:pt>
              </c:strCache>
            </c:strRef>
          </c:tx>
          <c:spPr>
            <a:solidFill>
              <a:schemeClr val="accent1"/>
            </a:solidFill>
            <a:ln>
              <a:noFill/>
            </a:ln>
            <a:effectLst/>
          </c:spPr>
          <c:invertIfNegative val="0"/>
          <c:cat>
            <c:strRef>
              <c:f>'Figure 1.8'!$A$2:$A$9</c:f>
              <c:strCache>
                <c:ptCount val="8"/>
                <c:pt idx="0">
                  <c:v>Senegal</c:v>
                </c:pt>
                <c:pt idx="1">
                  <c:v>Guinea-Bissau</c:v>
                </c:pt>
                <c:pt idx="2">
                  <c:v>Côte d'Ivoire</c:v>
                </c:pt>
                <c:pt idx="3">
                  <c:v>Mali</c:v>
                </c:pt>
                <c:pt idx="4">
                  <c:v>Chad</c:v>
                </c:pt>
                <c:pt idx="5">
                  <c:v>Kenya</c:v>
                </c:pt>
                <c:pt idx="6">
                  <c:v>Nepal</c:v>
                </c:pt>
                <c:pt idx="7">
                  <c:v>Uganda</c:v>
                </c:pt>
              </c:strCache>
            </c:strRef>
          </c:cat>
          <c:val>
            <c:numRef>
              <c:f>'Figure 1.8'!$B$2:$B$9</c:f>
              <c:numCache>
                <c:formatCode>0.00</c:formatCode>
                <c:ptCount val="8"/>
                <c:pt idx="0">
                  <c:v>3.9226968288421631</c:v>
                </c:pt>
                <c:pt idx="1">
                  <c:v>2.8430905342102051</c:v>
                </c:pt>
                <c:pt idx="2">
                  <c:v>2.1053242683410645</c:v>
                </c:pt>
                <c:pt idx="3">
                  <c:v>1.9901053905487061</c:v>
                </c:pt>
                <c:pt idx="4">
                  <c:v>1.8260962963104248</c:v>
                </c:pt>
                <c:pt idx="5">
                  <c:v>1.188162088394165</c:v>
                </c:pt>
                <c:pt idx="6">
                  <c:v>-0.20915094017982483</c:v>
                </c:pt>
                <c:pt idx="7">
                  <c:v>-1.918178915977478</c:v>
                </c:pt>
              </c:numCache>
            </c:numRef>
          </c:val>
          <c:extLst>
            <c:ext xmlns:c16="http://schemas.microsoft.com/office/drawing/2014/chart" uri="{C3380CC4-5D6E-409C-BE32-E72D297353CC}">
              <c16:uniqueId val="{00000000-3483-41C1-9DCE-DED68B7A2FCF}"/>
            </c:ext>
          </c:extLst>
        </c:ser>
        <c:ser>
          <c:idx val="1"/>
          <c:order val="1"/>
          <c:tx>
            <c:strRef>
              <c:f>'Figure 1.8'!$C$1</c:f>
              <c:strCache>
                <c:ptCount val="1"/>
                <c:pt idx="0">
                  <c:v>Potential DSSI savings</c:v>
                </c:pt>
              </c:strCache>
            </c:strRef>
          </c:tx>
          <c:spPr>
            <a:solidFill>
              <a:srgbClr val="C00000"/>
            </a:solidFill>
            <a:ln>
              <a:noFill/>
            </a:ln>
            <a:effectLst/>
          </c:spPr>
          <c:invertIfNegative val="0"/>
          <c:cat>
            <c:strRef>
              <c:f>'Figure 1.8'!$A$2:$A$9</c:f>
              <c:strCache>
                <c:ptCount val="8"/>
                <c:pt idx="0">
                  <c:v>Senegal</c:v>
                </c:pt>
                <c:pt idx="1">
                  <c:v>Guinea-Bissau</c:v>
                </c:pt>
                <c:pt idx="2">
                  <c:v>Côte d'Ivoire</c:v>
                </c:pt>
                <c:pt idx="3">
                  <c:v>Mali</c:v>
                </c:pt>
                <c:pt idx="4">
                  <c:v>Chad</c:v>
                </c:pt>
                <c:pt idx="5">
                  <c:v>Kenya</c:v>
                </c:pt>
                <c:pt idx="6">
                  <c:v>Nepal</c:v>
                </c:pt>
                <c:pt idx="7">
                  <c:v>Uganda</c:v>
                </c:pt>
              </c:strCache>
            </c:strRef>
          </c:cat>
          <c:val>
            <c:numRef>
              <c:f>'Figure 1.8'!$C$2:$C$9</c:f>
              <c:numCache>
                <c:formatCode>0.00</c:formatCode>
                <c:ptCount val="8"/>
                <c:pt idx="0">
                  <c:v>1.4</c:v>
                </c:pt>
                <c:pt idx="1">
                  <c:v>0.5</c:v>
                </c:pt>
                <c:pt idx="2">
                  <c:v>0.3</c:v>
                </c:pt>
                <c:pt idx="3">
                  <c:v>0.6</c:v>
                </c:pt>
                <c:pt idx="4">
                  <c:v>0.9</c:v>
                </c:pt>
                <c:pt idx="5">
                  <c:v>1.2</c:v>
                </c:pt>
                <c:pt idx="6">
                  <c:v>0.1</c:v>
                </c:pt>
                <c:pt idx="7">
                  <c:v>0.7</c:v>
                </c:pt>
              </c:numCache>
            </c:numRef>
          </c:val>
          <c:extLst>
            <c:ext xmlns:c16="http://schemas.microsoft.com/office/drawing/2014/chart" uri="{C3380CC4-5D6E-409C-BE32-E72D297353CC}">
              <c16:uniqueId val="{00000001-3483-41C1-9DCE-DED68B7A2FCF}"/>
            </c:ext>
          </c:extLst>
        </c:ser>
        <c:dLbls>
          <c:showLegendKey val="0"/>
          <c:showVal val="0"/>
          <c:showCatName val="0"/>
          <c:showSerName val="0"/>
          <c:showPercent val="0"/>
          <c:showBubbleSize val="0"/>
        </c:dLbls>
        <c:gapWidth val="50"/>
        <c:axId val="778955968"/>
        <c:axId val="778954720"/>
      </c:barChart>
      <c:catAx>
        <c:axId val="7789559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778954720"/>
        <c:crosses val="autoZero"/>
        <c:auto val="1"/>
        <c:lblAlgn val="ctr"/>
        <c:lblOffset val="100"/>
        <c:noMultiLvlLbl val="0"/>
      </c:catAx>
      <c:valAx>
        <c:axId val="778954720"/>
        <c:scaling>
          <c:orientation val="minMax"/>
        </c:scaling>
        <c:delete val="0"/>
        <c:axPos val="l"/>
        <c:numFmt formatCode="0" sourceLinked="0"/>
        <c:majorTickMark val="in"/>
        <c:minorTickMark val="none"/>
        <c:tickLblPos val="low"/>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778955968"/>
        <c:crosses val="autoZero"/>
        <c:crossBetween val="between"/>
      </c:valAx>
      <c:spPr>
        <a:noFill/>
        <a:ln>
          <a:noFill/>
        </a:ln>
        <a:effectLst/>
      </c:spPr>
    </c:plotArea>
    <c:legend>
      <c:legendPos val="b"/>
      <c:layout>
        <c:manualLayout>
          <c:xMode val="edge"/>
          <c:yMode val="edge"/>
          <c:x val="0.11683401814125358"/>
          <c:y val="3.4825207101617045E-2"/>
          <c:w val="0.86441911319277209"/>
          <c:h val="0.1670190767961030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2436570428696E-2"/>
          <c:y val="5.4189997083697872E-2"/>
          <c:w val="0.88562007874015747"/>
          <c:h val="0.78171988918051916"/>
        </c:manualLayout>
      </c:layout>
      <c:lineChart>
        <c:grouping val="standard"/>
        <c:varyColors val="0"/>
        <c:ser>
          <c:idx val="0"/>
          <c:order val="0"/>
          <c:tx>
            <c:v>Advanced economies</c:v>
          </c:tx>
          <c:spPr>
            <a:ln w="28575" cap="rnd">
              <a:solidFill>
                <a:schemeClr val="accent1"/>
              </a:solidFill>
              <a:round/>
            </a:ln>
            <a:effectLst/>
          </c:spPr>
          <c:marker>
            <c:symbol val="none"/>
          </c:marker>
          <c:cat>
            <c:strRef>
              <c:f>'Figure 1.9'!$B$2:$B$47</c:f>
              <c:strCache>
                <c:ptCount val="46"/>
                <c:pt idx="0">
                  <c:v>1980</c:v>
                </c:pt>
                <c:pt idx="1">
                  <c:v>81</c:v>
                </c:pt>
                <c:pt idx="2">
                  <c:v>82</c:v>
                </c:pt>
                <c:pt idx="3">
                  <c:v>83</c:v>
                </c:pt>
                <c:pt idx="4">
                  <c:v>84</c:v>
                </c:pt>
                <c:pt idx="5">
                  <c:v>85</c:v>
                </c:pt>
                <c:pt idx="6">
                  <c:v>86</c:v>
                </c:pt>
                <c:pt idx="7">
                  <c:v>87</c:v>
                </c:pt>
                <c:pt idx="8">
                  <c:v>88</c:v>
                </c:pt>
                <c:pt idx="9">
                  <c:v>89</c:v>
                </c:pt>
                <c:pt idx="10">
                  <c:v>90</c:v>
                </c:pt>
                <c:pt idx="11">
                  <c:v>91</c:v>
                </c:pt>
                <c:pt idx="12">
                  <c:v>92</c:v>
                </c:pt>
                <c:pt idx="13">
                  <c:v>93</c:v>
                </c:pt>
                <c:pt idx="14">
                  <c:v>94</c:v>
                </c:pt>
                <c:pt idx="15">
                  <c:v>95</c:v>
                </c:pt>
                <c:pt idx="16">
                  <c:v>96</c:v>
                </c:pt>
                <c:pt idx="17">
                  <c:v>97</c:v>
                </c:pt>
                <c:pt idx="18">
                  <c:v>98</c:v>
                </c:pt>
                <c:pt idx="19">
                  <c:v>99</c:v>
                </c:pt>
                <c:pt idx="20">
                  <c:v>2000</c:v>
                </c:pt>
                <c:pt idx="21">
                  <c:v>01</c:v>
                </c:pt>
                <c:pt idx="22">
                  <c:v>02</c:v>
                </c:pt>
                <c:pt idx="23">
                  <c:v>03</c:v>
                </c:pt>
                <c:pt idx="24">
                  <c:v>04</c:v>
                </c:pt>
                <c:pt idx="25">
                  <c:v>05</c:v>
                </c:pt>
                <c:pt idx="26">
                  <c:v>06</c:v>
                </c:pt>
                <c:pt idx="27">
                  <c:v>07</c:v>
                </c:pt>
                <c:pt idx="28">
                  <c:v>08</c:v>
                </c:pt>
                <c:pt idx="29">
                  <c:v>09</c:v>
                </c:pt>
                <c:pt idx="30">
                  <c:v>10</c:v>
                </c:pt>
                <c:pt idx="31">
                  <c:v>11</c:v>
                </c:pt>
                <c:pt idx="32">
                  <c:v>12</c:v>
                </c:pt>
                <c:pt idx="33">
                  <c:v>13</c:v>
                </c:pt>
                <c:pt idx="34">
                  <c:v>14</c:v>
                </c:pt>
                <c:pt idx="35">
                  <c:v>15</c:v>
                </c:pt>
                <c:pt idx="36">
                  <c:v>16</c:v>
                </c:pt>
                <c:pt idx="37">
                  <c:v>17</c:v>
                </c:pt>
                <c:pt idx="38">
                  <c:v>18</c:v>
                </c:pt>
                <c:pt idx="39">
                  <c:v>19</c:v>
                </c:pt>
                <c:pt idx="40">
                  <c:v>20</c:v>
                </c:pt>
                <c:pt idx="41">
                  <c:v>21</c:v>
                </c:pt>
                <c:pt idx="42">
                  <c:v>22</c:v>
                </c:pt>
                <c:pt idx="43">
                  <c:v>23</c:v>
                </c:pt>
                <c:pt idx="44">
                  <c:v>24</c:v>
                </c:pt>
                <c:pt idx="45">
                  <c:v>25</c:v>
                </c:pt>
              </c:strCache>
            </c:strRef>
          </c:cat>
          <c:val>
            <c:numRef>
              <c:f>'Figure 1.9'!$A$2:$A$47</c:f>
              <c:numCache>
                <c:formatCode>0.00</c:formatCode>
                <c:ptCount val="46"/>
                <c:pt idx="0">
                  <c:v>25.159341440412845</c:v>
                </c:pt>
                <c:pt idx="1">
                  <c:v>25.531471613670643</c:v>
                </c:pt>
                <c:pt idx="2">
                  <c:v>25.719132404655429</c:v>
                </c:pt>
                <c:pt idx="3">
                  <c:v>25.431720227897177</c:v>
                </c:pt>
                <c:pt idx="4">
                  <c:v>25.396739580831181</c:v>
                </c:pt>
                <c:pt idx="5">
                  <c:v>25.280886013517105</c:v>
                </c:pt>
                <c:pt idx="6">
                  <c:v>25.456959894520061</c:v>
                </c:pt>
                <c:pt idx="7">
                  <c:v>25.257415927800324</c:v>
                </c:pt>
                <c:pt idx="8">
                  <c:v>24.754034394023488</c:v>
                </c:pt>
                <c:pt idx="9">
                  <c:v>24.505442851925157</c:v>
                </c:pt>
                <c:pt idx="10">
                  <c:v>22.756948348436122</c:v>
                </c:pt>
                <c:pt idx="11">
                  <c:v>25.201101762022866</c:v>
                </c:pt>
                <c:pt idx="12">
                  <c:v>25.640832087766171</c:v>
                </c:pt>
                <c:pt idx="13">
                  <c:v>25.712228669326908</c:v>
                </c:pt>
                <c:pt idx="14">
                  <c:v>25.611174036294692</c:v>
                </c:pt>
                <c:pt idx="15">
                  <c:v>24.691115547207957</c:v>
                </c:pt>
                <c:pt idx="16">
                  <c:v>25.129013146487306</c:v>
                </c:pt>
                <c:pt idx="17">
                  <c:v>25.210240425420182</c:v>
                </c:pt>
                <c:pt idx="18">
                  <c:v>26.064675923294615</c:v>
                </c:pt>
                <c:pt idx="19">
                  <c:v>26.327742293467484</c:v>
                </c:pt>
                <c:pt idx="20">
                  <c:v>26.222364958052733</c:v>
                </c:pt>
                <c:pt idx="21">
                  <c:v>25.356454441656229</c:v>
                </c:pt>
                <c:pt idx="22">
                  <c:v>25.118287187408921</c:v>
                </c:pt>
                <c:pt idx="23">
                  <c:v>25.065494355421514</c:v>
                </c:pt>
                <c:pt idx="24">
                  <c:v>25.328464663866239</c:v>
                </c:pt>
                <c:pt idx="25">
                  <c:v>25.907640740795756</c:v>
                </c:pt>
                <c:pt idx="26">
                  <c:v>26.078329682099479</c:v>
                </c:pt>
                <c:pt idx="27">
                  <c:v>26.356264682835057</c:v>
                </c:pt>
                <c:pt idx="28">
                  <c:v>25.671829221003623</c:v>
                </c:pt>
                <c:pt idx="29">
                  <c:v>24.738905350500623</c:v>
                </c:pt>
                <c:pt idx="30">
                  <c:v>24.799860968884143</c:v>
                </c:pt>
                <c:pt idx="31">
                  <c:v>25.274436803039844</c:v>
                </c:pt>
                <c:pt idx="32">
                  <c:v>25.620174404852545</c:v>
                </c:pt>
                <c:pt idx="33">
                  <c:v>25.952173127542505</c:v>
                </c:pt>
                <c:pt idx="34">
                  <c:v>26.1933363215032</c:v>
                </c:pt>
                <c:pt idx="35">
                  <c:v>25.790414987881547</c:v>
                </c:pt>
                <c:pt idx="36">
                  <c:v>26.357521280738172</c:v>
                </c:pt>
                <c:pt idx="37">
                  <c:v>26.176591822709462</c:v>
                </c:pt>
                <c:pt idx="38">
                  <c:v>26.259019406949275</c:v>
                </c:pt>
                <c:pt idx="39">
                  <c:v>26.098261076750159</c:v>
                </c:pt>
                <c:pt idx="40">
                  <c:v>25.619827473625861</c:v>
                </c:pt>
                <c:pt idx="41">
                  <c:v>26.43511717091911</c:v>
                </c:pt>
                <c:pt idx="42">
                  <c:v>26.619255419117312</c:v>
                </c:pt>
                <c:pt idx="43">
                  <c:v>26.547645936497339</c:v>
                </c:pt>
                <c:pt idx="44">
                  <c:v>26.468051656942627</c:v>
                </c:pt>
                <c:pt idx="45">
                  <c:v>26.378392252523533</c:v>
                </c:pt>
              </c:numCache>
            </c:numRef>
          </c:val>
          <c:smooth val="0"/>
          <c:extLst>
            <c:ext xmlns:c16="http://schemas.microsoft.com/office/drawing/2014/chart" uri="{C3380CC4-5D6E-409C-BE32-E72D297353CC}">
              <c16:uniqueId val="{00000000-0B8B-453D-8FED-9479FB84EF59}"/>
            </c:ext>
          </c:extLst>
        </c:ser>
        <c:ser>
          <c:idx val="1"/>
          <c:order val="1"/>
          <c:tx>
            <c:v>Emerging market economies</c:v>
          </c:tx>
          <c:spPr>
            <a:ln w="28575" cap="rnd">
              <a:solidFill>
                <a:srgbClr val="C00000"/>
              </a:solidFill>
              <a:round/>
            </a:ln>
            <a:effectLst/>
          </c:spPr>
          <c:marker>
            <c:symbol val="none"/>
          </c:marker>
          <c:cat>
            <c:strRef>
              <c:f>'Figure 1.9'!$B$2:$B$47</c:f>
              <c:strCache>
                <c:ptCount val="46"/>
                <c:pt idx="0">
                  <c:v>1980</c:v>
                </c:pt>
                <c:pt idx="1">
                  <c:v>81</c:v>
                </c:pt>
                <c:pt idx="2">
                  <c:v>82</c:v>
                </c:pt>
                <c:pt idx="3">
                  <c:v>83</c:v>
                </c:pt>
                <c:pt idx="4">
                  <c:v>84</c:v>
                </c:pt>
                <c:pt idx="5">
                  <c:v>85</c:v>
                </c:pt>
                <c:pt idx="6">
                  <c:v>86</c:v>
                </c:pt>
                <c:pt idx="7">
                  <c:v>87</c:v>
                </c:pt>
                <c:pt idx="8">
                  <c:v>88</c:v>
                </c:pt>
                <c:pt idx="9">
                  <c:v>89</c:v>
                </c:pt>
                <c:pt idx="10">
                  <c:v>90</c:v>
                </c:pt>
                <c:pt idx="11">
                  <c:v>91</c:v>
                </c:pt>
                <c:pt idx="12">
                  <c:v>92</c:v>
                </c:pt>
                <c:pt idx="13">
                  <c:v>93</c:v>
                </c:pt>
                <c:pt idx="14">
                  <c:v>94</c:v>
                </c:pt>
                <c:pt idx="15">
                  <c:v>95</c:v>
                </c:pt>
                <c:pt idx="16">
                  <c:v>96</c:v>
                </c:pt>
                <c:pt idx="17">
                  <c:v>97</c:v>
                </c:pt>
                <c:pt idx="18">
                  <c:v>98</c:v>
                </c:pt>
                <c:pt idx="19">
                  <c:v>99</c:v>
                </c:pt>
                <c:pt idx="20">
                  <c:v>2000</c:v>
                </c:pt>
                <c:pt idx="21">
                  <c:v>01</c:v>
                </c:pt>
                <c:pt idx="22">
                  <c:v>02</c:v>
                </c:pt>
                <c:pt idx="23">
                  <c:v>03</c:v>
                </c:pt>
                <c:pt idx="24">
                  <c:v>04</c:v>
                </c:pt>
                <c:pt idx="25">
                  <c:v>05</c:v>
                </c:pt>
                <c:pt idx="26">
                  <c:v>06</c:v>
                </c:pt>
                <c:pt idx="27">
                  <c:v>07</c:v>
                </c:pt>
                <c:pt idx="28">
                  <c:v>08</c:v>
                </c:pt>
                <c:pt idx="29">
                  <c:v>09</c:v>
                </c:pt>
                <c:pt idx="30">
                  <c:v>10</c:v>
                </c:pt>
                <c:pt idx="31">
                  <c:v>11</c:v>
                </c:pt>
                <c:pt idx="32">
                  <c:v>12</c:v>
                </c:pt>
                <c:pt idx="33">
                  <c:v>13</c:v>
                </c:pt>
                <c:pt idx="34">
                  <c:v>14</c:v>
                </c:pt>
                <c:pt idx="35">
                  <c:v>15</c:v>
                </c:pt>
                <c:pt idx="36">
                  <c:v>16</c:v>
                </c:pt>
                <c:pt idx="37">
                  <c:v>17</c:v>
                </c:pt>
                <c:pt idx="38">
                  <c:v>18</c:v>
                </c:pt>
                <c:pt idx="39">
                  <c:v>19</c:v>
                </c:pt>
                <c:pt idx="40">
                  <c:v>20</c:v>
                </c:pt>
                <c:pt idx="41">
                  <c:v>21</c:v>
                </c:pt>
                <c:pt idx="42">
                  <c:v>22</c:v>
                </c:pt>
                <c:pt idx="43">
                  <c:v>23</c:v>
                </c:pt>
                <c:pt idx="44">
                  <c:v>24</c:v>
                </c:pt>
                <c:pt idx="45">
                  <c:v>25</c:v>
                </c:pt>
              </c:strCache>
            </c:strRef>
          </c:cat>
          <c:val>
            <c:numRef>
              <c:f>'Figure 1.9'!$A$48:$A$93</c:f>
              <c:numCache>
                <c:formatCode>0.00</c:formatCode>
                <c:ptCount val="46"/>
                <c:pt idx="0">
                  <c:v>14.714985684445248</c:v>
                </c:pt>
                <c:pt idx="1">
                  <c:v>14.782170242605394</c:v>
                </c:pt>
                <c:pt idx="2">
                  <c:v>16.804123730955489</c:v>
                </c:pt>
                <c:pt idx="3">
                  <c:v>16.651390855017773</c:v>
                </c:pt>
                <c:pt idx="4">
                  <c:v>19.254534769984211</c:v>
                </c:pt>
                <c:pt idx="5">
                  <c:v>18.000978107265457</c:v>
                </c:pt>
                <c:pt idx="6">
                  <c:v>18.33279719032247</c:v>
                </c:pt>
                <c:pt idx="7">
                  <c:v>17.591694577675575</c:v>
                </c:pt>
                <c:pt idx="8">
                  <c:v>19.081420705287357</c:v>
                </c:pt>
                <c:pt idx="9">
                  <c:v>17.869064347317135</c:v>
                </c:pt>
                <c:pt idx="10">
                  <c:v>13.935614270624527</c:v>
                </c:pt>
                <c:pt idx="11">
                  <c:v>14.406113880199301</c:v>
                </c:pt>
                <c:pt idx="12">
                  <c:v>14.199621652525172</c:v>
                </c:pt>
                <c:pt idx="13">
                  <c:v>13.636251129667041</c:v>
                </c:pt>
                <c:pt idx="14">
                  <c:v>13.349091531846112</c:v>
                </c:pt>
                <c:pt idx="15">
                  <c:v>13.984523012187472</c:v>
                </c:pt>
                <c:pt idx="16">
                  <c:v>14.619251583933078</c:v>
                </c:pt>
                <c:pt idx="17">
                  <c:v>14.828492077403812</c:v>
                </c:pt>
                <c:pt idx="18">
                  <c:v>14.85000222546568</c:v>
                </c:pt>
                <c:pt idx="19">
                  <c:v>15.340408028885015</c:v>
                </c:pt>
                <c:pt idx="20">
                  <c:v>15.82233956869908</c:v>
                </c:pt>
                <c:pt idx="21">
                  <c:v>15.612910699853323</c:v>
                </c:pt>
                <c:pt idx="22">
                  <c:v>15.56869563530516</c:v>
                </c:pt>
                <c:pt idx="23">
                  <c:v>15.92943859587356</c:v>
                </c:pt>
                <c:pt idx="24">
                  <c:v>16.095454313372667</c:v>
                </c:pt>
                <c:pt idx="25">
                  <c:v>17.024080226641903</c:v>
                </c:pt>
                <c:pt idx="26">
                  <c:v>17.86044016776567</c:v>
                </c:pt>
                <c:pt idx="27">
                  <c:v>18.062543855969629</c:v>
                </c:pt>
                <c:pt idx="28">
                  <c:v>18.779073727453582</c:v>
                </c:pt>
                <c:pt idx="29">
                  <c:v>17.258012319225696</c:v>
                </c:pt>
                <c:pt idx="30">
                  <c:v>17.137686672944184</c:v>
                </c:pt>
                <c:pt idx="31">
                  <c:v>17.677900730122083</c:v>
                </c:pt>
                <c:pt idx="32">
                  <c:v>17.782842050420037</c:v>
                </c:pt>
                <c:pt idx="33">
                  <c:v>17.810039941736814</c:v>
                </c:pt>
                <c:pt idx="34">
                  <c:v>17.744218508436106</c:v>
                </c:pt>
                <c:pt idx="35">
                  <c:v>17.44603936333306</c:v>
                </c:pt>
                <c:pt idx="36">
                  <c:v>16.983565509213399</c:v>
                </c:pt>
                <c:pt idx="37">
                  <c:v>17.14421311962575</c:v>
                </c:pt>
                <c:pt idx="38">
                  <c:v>17.837855750437544</c:v>
                </c:pt>
                <c:pt idx="39">
                  <c:v>17.83890465901953</c:v>
                </c:pt>
                <c:pt idx="40">
                  <c:v>17.162676761759258</c:v>
                </c:pt>
                <c:pt idx="41">
                  <c:v>17.549237699120514</c:v>
                </c:pt>
                <c:pt idx="42">
                  <c:v>17.856560236525191</c:v>
                </c:pt>
                <c:pt idx="43">
                  <c:v>17.856047075573365</c:v>
                </c:pt>
                <c:pt idx="44">
                  <c:v>17.78819606749467</c:v>
                </c:pt>
                <c:pt idx="45">
                  <c:v>17.942810795565897</c:v>
                </c:pt>
              </c:numCache>
            </c:numRef>
          </c:val>
          <c:smooth val="0"/>
          <c:extLst>
            <c:ext xmlns:c16="http://schemas.microsoft.com/office/drawing/2014/chart" uri="{C3380CC4-5D6E-409C-BE32-E72D297353CC}">
              <c16:uniqueId val="{00000001-0B8B-453D-8FED-9479FB84EF59}"/>
            </c:ext>
          </c:extLst>
        </c:ser>
        <c:ser>
          <c:idx val="2"/>
          <c:order val="2"/>
          <c:tx>
            <c:v>Low-income developing countries</c:v>
          </c:tx>
          <c:spPr>
            <a:ln w="28575" cap="rnd">
              <a:solidFill>
                <a:schemeClr val="accent6">
                  <a:lumMod val="75000"/>
                </a:schemeClr>
              </a:solidFill>
              <a:round/>
            </a:ln>
            <a:effectLst/>
          </c:spPr>
          <c:marker>
            <c:symbol val="none"/>
          </c:marker>
          <c:cat>
            <c:strRef>
              <c:f>'Figure 1.9'!$B$2:$B$47</c:f>
              <c:strCache>
                <c:ptCount val="46"/>
                <c:pt idx="0">
                  <c:v>1980</c:v>
                </c:pt>
                <c:pt idx="1">
                  <c:v>81</c:v>
                </c:pt>
                <c:pt idx="2">
                  <c:v>82</c:v>
                </c:pt>
                <c:pt idx="3">
                  <c:v>83</c:v>
                </c:pt>
                <c:pt idx="4">
                  <c:v>84</c:v>
                </c:pt>
                <c:pt idx="5">
                  <c:v>85</c:v>
                </c:pt>
                <c:pt idx="6">
                  <c:v>86</c:v>
                </c:pt>
                <c:pt idx="7">
                  <c:v>87</c:v>
                </c:pt>
                <c:pt idx="8">
                  <c:v>88</c:v>
                </c:pt>
                <c:pt idx="9">
                  <c:v>89</c:v>
                </c:pt>
                <c:pt idx="10">
                  <c:v>90</c:v>
                </c:pt>
                <c:pt idx="11">
                  <c:v>91</c:v>
                </c:pt>
                <c:pt idx="12">
                  <c:v>92</c:v>
                </c:pt>
                <c:pt idx="13">
                  <c:v>93</c:v>
                </c:pt>
                <c:pt idx="14">
                  <c:v>94</c:v>
                </c:pt>
                <c:pt idx="15">
                  <c:v>95</c:v>
                </c:pt>
                <c:pt idx="16">
                  <c:v>96</c:v>
                </c:pt>
                <c:pt idx="17">
                  <c:v>97</c:v>
                </c:pt>
                <c:pt idx="18">
                  <c:v>98</c:v>
                </c:pt>
                <c:pt idx="19">
                  <c:v>99</c:v>
                </c:pt>
                <c:pt idx="20">
                  <c:v>2000</c:v>
                </c:pt>
                <c:pt idx="21">
                  <c:v>01</c:v>
                </c:pt>
                <c:pt idx="22">
                  <c:v>02</c:v>
                </c:pt>
                <c:pt idx="23">
                  <c:v>03</c:v>
                </c:pt>
                <c:pt idx="24">
                  <c:v>04</c:v>
                </c:pt>
                <c:pt idx="25">
                  <c:v>05</c:v>
                </c:pt>
                <c:pt idx="26">
                  <c:v>06</c:v>
                </c:pt>
                <c:pt idx="27">
                  <c:v>07</c:v>
                </c:pt>
                <c:pt idx="28">
                  <c:v>08</c:v>
                </c:pt>
                <c:pt idx="29">
                  <c:v>09</c:v>
                </c:pt>
                <c:pt idx="30">
                  <c:v>10</c:v>
                </c:pt>
                <c:pt idx="31">
                  <c:v>11</c:v>
                </c:pt>
                <c:pt idx="32">
                  <c:v>12</c:v>
                </c:pt>
                <c:pt idx="33">
                  <c:v>13</c:v>
                </c:pt>
                <c:pt idx="34">
                  <c:v>14</c:v>
                </c:pt>
                <c:pt idx="35">
                  <c:v>15</c:v>
                </c:pt>
                <c:pt idx="36">
                  <c:v>16</c:v>
                </c:pt>
                <c:pt idx="37">
                  <c:v>17</c:v>
                </c:pt>
                <c:pt idx="38">
                  <c:v>18</c:v>
                </c:pt>
                <c:pt idx="39">
                  <c:v>19</c:v>
                </c:pt>
                <c:pt idx="40">
                  <c:v>20</c:v>
                </c:pt>
                <c:pt idx="41">
                  <c:v>21</c:v>
                </c:pt>
                <c:pt idx="42">
                  <c:v>22</c:v>
                </c:pt>
                <c:pt idx="43">
                  <c:v>23</c:v>
                </c:pt>
                <c:pt idx="44">
                  <c:v>24</c:v>
                </c:pt>
                <c:pt idx="45">
                  <c:v>25</c:v>
                </c:pt>
              </c:strCache>
            </c:strRef>
          </c:cat>
          <c:val>
            <c:numRef>
              <c:f>'Figure 1.9'!$A$94:$A$139</c:f>
              <c:numCache>
                <c:formatCode>0.00</c:formatCode>
                <c:ptCount val="46"/>
                <c:pt idx="0">
                  <c:v>4.6782296316998524</c:v>
                </c:pt>
                <c:pt idx="1">
                  <c:v>5.0356570700928778</c:v>
                </c:pt>
                <c:pt idx="2">
                  <c:v>8.0543242815963847</c:v>
                </c:pt>
                <c:pt idx="3">
                  <c:v>7.2534959723129093</c:v>
                </c:pt>
                <c:pt idx="4">
                  <c:v>6.8324597753038141</c:v>
                </c:pt>
                <c:pt idx="5">
                  <c:v>5.8950555249451497</c:v>
                </c:pt>
                <c:pt idx="6">
                  <c:v>6.375307947501522</c:v>
                </c:pt>
                <c:pt idx="7">
                  <c:v>7.0154261913180056</c:v>
                </c:pt>
                <c:pt idx="8">
                  <c:v>7.9573694945782005</c:v>
                </c:pt>
                <c:pt idx="9">
                  <c:v>9.348791158947046</c:v>
                </c:pt>
                <c:pt idx="10">
                  <c:v>9.9530042285541693</c:v>
                </c:pt>
                <c:pt idx="11">
                  <c:v>10.155445200604619</c:v>
                </c:pt>
                <c:pt idx="12">
                  <c:v>11.021402032298584</c:v>
                </c:pt>
                <c:pt idx="13">
                  <c:v>11.53149939349254</c:v>
                </c:pt>
                <c:pt idx="14">
                  <c:v>11.335829560795187</c:v>
                </c:pt>
                <c:pt idx="15">
                  <c:v>12.001180334407643</c:v>
                </c:pt>
                <c:pt idx="16">
                  <c:v>11.461712614386315</c:v>
                </c:pt>
                <c:pt idx="17">
                  <c:v>11.592526050681618</c:v>
                </c:pt>
                <c:pt idx="18">
                  <c:v>11.009994052974704</c:v>
                </c:pt>
                <c:pt idx="19">
                  <c:v>10.979758793450941</c:v>
                </c:pt>
                <c:pt idx="20">
                  <c:v>10.797499714300626</c:v>
                </c:pt>
                <c:pt idx="21">
                  <c:v>10.634389363098105</c:v>
                </c:pt>
                <c:pt idx="22">
                  <c:v>10.494854446583473</c:v>
                </c:pt>
                <c:pt idx="23">
                  <c:v>10.718473567721061</c:v>
                </c:pt>
                <c:pt idx="24">
                  <c:v>11.224106919111186</c:v>
                </c:pt>
                <c:pt idx="25">
                  <c:v>11.526392897801477</c:v>
                </c:pt>
                <c:pt idx="26">
                  <c:v>12.191433108002331</c:v>
                </c:pt>
                <c:pt idx="27">
                  <c:v>12.440268014917615</c:v>
                </c:pt>
                <c:pt idx="28">
                  <c:v>12.695656238892314</c:v>
                </c:pt>
                <c:pt idx="29">
                  <c:v>12.172963524333117</c:v>
                </c:pt>
                <c:pt idx="30">
                  <c:v>12.724053145747996</c:v>
                </c:pt>
                <c:pt idx="31">
                  <c:v>13.04990280846642</c:v>
                </c:pt>
                <c:pt idx="32">
                  <c:v>13.552678051922337</c:v>
                </c:pt>
                <c:pt idx="33">
                  <c:v>13.280563065973412</c:v>
                </c:pt>
                <c:pt idx="34">
                  <c:v>13.254907894040951</c:v>
                </c:pt>
                <c:pt idx="35">
                  <c:v>12.854128343353219</c:v>
                </c:pt>
                <c:pt idx="36">
                  <c:v>12.59479066409258</c:v>
                </c:pt>
                <c:pt idx="37">
                  <c:v>12.895011342118536</c:v>
                </c:pt>
                <c:pt idx="38">
                  <c:v>13.047045765363551</c:v>
                </c:pt>
                <c:pt idx="39">
                  <c:v>13.059104764294592</c:v>
                </c:pt>
                <c:pt idx="40">
                  <c:v>12.429214655838457</c:v>
                </c:pt>
                <c:pt idx="41">
                  <c:v>12.984185468315223</c:v>
                </c:pt>
                <c:pt idx="42">
                  <c:v>13.169546839790819</c:v>
                </c:pt>
                <c:pt idx="43">
                  <c:v>13.488399891916059</c:v>
                </c:pt>
                <c:pt idx="44">
                  <c:v>14.008382437598089</c:v>
                </c:pt>
                <c:pt idx="45">
                  <c:v>14.186308851383574</c:v>
                </c:pt>
              </c:numCache>
            </c:numRef>
          </c:val>
          <c:smooth val="0"/>
          <c:extLst>
            <c:ext xmlns:c16="http://schemas.microsoft.com/office/drawing/2014/chart" uri="{C3380CC4-5D6E-409C-BE32-E72D297353CC}">
              <c16:uniqueId val="{00000002-0B8B-453D-8FED-9479FB84EF59}"/>
            </c:ext>
          </c:extLst>
        </c:ser>
        <c:dLbls>
          <c:showLegendKey val="0"/>
          <c:showVal val="0"/>
          <c:showCatName val="0"/>
          <c:showSerName val="0"/>
          <c:showPercent val="0"/>
          <c:showBubbleSize val="0"/>
        </c:dLbls>
        <c:smooth val="0"/>
        <c:axId val="780581727"/>
        <c:axId val="780576735"/>
      </c:lineChart>
      <c:catAx>
        <c:axId val="780581727"/>
        <c:scaling>
          <c:orientation val="minMax"/>
        </c:scaling>
        <c:delete val="0"/>
        <c:axPos val="b"/>
        <c:numFmt formatCode="General" sourceLinked="1"/>
        <c:majorTickMark val="in"/>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crossAx val="780576735"/>
        <c:crosses val="autoZero"/>
        <c:auto val="1"/>
        <c:lblAlgn val="ctr"/>
        <c:lblOffset val="100"/>
        <c:noMultiLvlLbl val="0"/>
      </c:catAx>
      <c:valAx>
        <c:axId val="780576735"/>
        <c:scaling>
          <c:orientation val="minMax"/>
          <c:max val="3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crossAx val="780581727"/>
        <c:crosses val="autoZero"/>
        <c:crossBetween val="between"/>
      </c:valAx>
      <c:spPr>
        <a:noFill/>
        <a:ln>
          <a:noFill/>
        </a:ln>
        <a:effectLst/>
      </c:spPr>
    </c:plotArea>
    <c:legend>
      <c:legendPos val="b"/>
      <c:layout>
        <c:manualLayout>
          <c:xMode val="edge"/>
          <c:yMode val="edge"/>
          <c:x val="9.8879702537182854E-2"/>
          <c:y val="4.9408719743365422E-2"/>
          <c:w val="0.88557370953630787"/>
          <c:h val="0.173079707141870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86513176649387E-2"/>
          <c:y val="1.9138525852090756E-2"/>
          <c:w val="0.86602697364670123"/>
          <c:h val="0.79941407171834089"/>
        </c:manualLayout>
      </c:layout>
      <c:barChart>
        <c:barDir val="col"/>
        <c:grouping val="stacked"/>
        <c:varyColors val="0"/>
        <c:ser>
          <c:idx val="0"/>
          <c:order val="0"/>
          <c:tx>
            <c:strRef>
              <c:f>'Figure 1.10'!$D$2</c:f>
              <c:strCache>
                <c:ptCount val="1"/>
                <c:pt idx="0">
                  <c:v>Primary deficit</c:v>
                </c:pt>
              </c:strCache>
            </c:strRef>
          </c:tx>
          <c:spPr>
            <a:solidFill>
              <a:srgbClr val="C00000"/>
            </a:solidFill>
            <a:ln w="25400">
              <a:noFill/>
            </a:ln>
          </c:spPr>
          <c:invertIfNegative val="0"/>
          <c:cat>
            <c:strRef>
              <c:f>'Figure 1.10'!$B$6:$B$8</c:f>
              <c:strCache>
                <c:ptCount val="3"/>
                <c:pt idx="0">
                  <c:v>Advanced economies</c:v>
                </c:pt>
                <c:pt idx="1">
                  <c:v>Emerging market economies excl. China</c:v>
                </c:pt>
                <c:pt idx="2">
                  <c:v>Low-income developing countries</c:v>
                </c:pt>
              </c:strCache>
            </c:strRef>
          </c:cat>
          <c:val>
            <c:numRef>
              <c:f>'Figure 1.10'!$D$6:$D$8</c:f>
              <c:numCache>
                <c:formatCode>0.0</c:formatCode>
                <c:ptCount val="3"/>
                <c:pt idx="0">
                  <c:v>9</c:v>
                </c:pt>
                <c:pt idx="1">
                  <c:v>5.8</c:v>
                </c:pt>
                <c:pt idx="2">
                  <c:v>3.3</c:v>
                </c:pt>
              </c:numCache>
            </c:numRef>
          </c:val>
          <c:extLst>
            <c:ext xmlns:c16="http://schemas.microsoft.com/office/drawing/2014/chart" uri="{C3380CC4-5D6E-409C-BE32-E72D297353CC}">
              <c16:uniqueId val="{00000000-1394-42F6-BA45-B3C138969D5F}"/>
            </c:ext>
          </c:extLst>
        </c:ser>
        <c:ser>
          <c:idx val="1"/>
          <c:order val="1"/>
          <c:tx>
            <c:strRef>
              <c:f>'Figure 1.10'!$H$2</c:f>
              <c:strCache>
                <c:ptCount val="1"/>
                <c:pt idx="0">
                  <c:v>Stock-flow adjustment</c:v>
                </c:pt>
              </c:strCache>
            </c:strRef>
          </c:tx>
          <c:spPr>
            <a:solidFill>
              <a:srgbClr val="A5A5A5"/>
            </a:solidFill>
            <a:ln w="25400">
              <a:noFill/>
            </a:ln>
          </c:spPr>
          <c:invertIfNegative val="0"/>
          <c:cat>
            <c:strRef>
              <c:f>'Figure 1.10'!$B$6:$B$8</c:f>
              <c:strCache>
                <c:ptCount val="3"/>
                <c:pt idx="0">
                  <c:v>Advanced economies</c:v>
                </c:pt>
                <c:pt idx="1">
                  <c:v>Emerging market economies excl. China</c:v>
                </c:pt>
                <c:pt idx="2">
                  <c:v>Low-income developing countries</c:v>
                </c:pt>
              </c:strCache>
            </c:strRef>
          </c:cat>
          <c:val>
            <c:numRef>
              <c:f>'Figure 1.10'!$H$6:$H$8</c:f>
              <c:numCache>
                <c:formatCode>0.0</c:formatCode>
                <c:ptCount val="3"/>
                <c:pt idx="0">
                  <c:v>5.7</c:v>
                </c:pt>
                <c:pt idx="1">
                  <c:v>1.8</c:v>
                </c:pt>
                <c:pt idx="2">
                  <c:v>1.7</c:v>
                </c:pt>
              </c:numCache>
            </c:numRef>
          </c:val>
          <c:extLst>
            <c:ext xmlns:c16="http://schemas.microsoft.com/office/drawing/2014/chart" uri="{C3380CC4-5D6E-409C-BE32-E72D297353CC}">
              <c16:uniqueId val="{00000001-1394-42F6-BA45-B3C138969D5F}"/>
            </c:ext>
          </c:extLst>
        </c:ser>
        <c:ser>
          <c:idx val="2"/>
          <c:order val="2"/>
          <c:tx>
            <c:strRef>
              <c:f>'Figure 1.10'!$E$2</c:f>
              <c:strCache>
                <c:ptCount val="1"/>
                <c:pt idx="0">
                  <c:v>Nominal interest rate</c:v>
                </c:pt>
              </c:strCache>
            </c:strRef>
          </c:tx>
          <c:spPr>
            <a:solidFill>
              <a:srgbClr val="FFC000"/>
            </a:solidFill>
            <a:ln w="25400">
              <a:noFill/>
            </a:ln>
          </c:spPr>
          <c:invertIfNegative val="0"/>
          <c:cat>
            <c:strRef>
              <c:f>'Figure 1.10'!$B$6:$B$8</c:f>
              <c:strCache>
                <c:ptCount val="3"/>
                <c:pt idx="0">
                  <c:v>Advanced economies</c:v>
                </c:pt>
                <c:pt idx="1">
                  <c:v>Emerging market economies excl. China</c:v>
                </c:pt>
                <c:pt idx="2">
                  <c:v>Low-income developing countries</c:v>
                </c:pt>
              </c:strCache>
            </c:strRef>
          </c:cat>
          <c:val>
            <c:numRef>
              <c:f>'Figure 1.10'!$E$6:$E$8</c:f>
              <c:numCache>
                <c:formatCode>0.0</c:formatCode>
                <c:ptCount val="3"/>
                <c:pt idx="0">
                  <c:v>1.4</c:v>
                </c:pt>
                <c:pt idx="1">
                  <c:v>2.8</c:v>
                </c:pt>
                <c:pt idx="2">
                  <c:v>1.8</c:v>
                </c:pt>
              </c:numCache>
            </c:numRef>
          </c:val>
          <c:extLst>
            <c:ext xmlns:c16="http://schemas.microsoft.com/office/drawing/2014/chart" uri="{C3380CC4-5D6E-409C-BE32-E72D297353CC}">
              <c16:uniqueId val="{00000002-1394-42F6-BA45-B3C138969D5F}"/>
            </c:ext>
          </c:extLst>
        </c:ser>
        <c:ser>
          <c:idx val="6"/>
          <c:order val="4"/>
          <c:tx>
            <c:strRef>
              <c:f>'Figure 1.10'!$F$2</c:f>
              <c:strCache>
                <c:ptCount val="1"/>
                <c:pt idx="0">
                  <c:v>Inflation</c:v>
                </c:pt>
              </c:strCache>
            </c:strRef>
          </c:tx>
          <c:spPr>
            <a:solidFill>
              <a:schemeClr val="accent5"/>
            </a:solidFill>
            <a:ln w="19050">
              <a:noFill/>
            </a:ln>
          </c:spPr>
          <c:invertIfNegative val="0"/>
          <c:cat>
            <c:strRef>
              <c:f>'Figure 1.10'!$B$6:$B$8</c:f>
              <c:strCache>
                <c:ptCount val="3"/>
                <c:pt idx="0">
                  <c:v>Advanced economies</c:v>
                </c:pt>
                <c:pt idx="1">
                  <c:v>Emerging market economies excl. China</c:v>
                </c:pt>
                <c:pt idx="2">
                  <c:v>Low-income developing countries</c:v>
                </c:pt>
              </c:strCache>
            </c:strRef>
          </c:cat>
          <c:val>
            <c:numRef>
              <c:f>'Figure 1.10'!$F$6:$F$8</c:f>
              <c:numCache>
                <c:formatCode>0.0</c:formatCode>
                <c:ptCount val="3"/>
                <c:pt idx="0">
                  <c:v>-1.6</c:v>
                </c:pt>
                <c:pt idx="1">
                  <c:v>-3.1</c:v>
                </c:pt>
                <c:pt idx="2">
                  <c:v>-1.7</c:v>
                </c:pt>
              </c:numCache>
            </c:numRef>
          </c:val>
          <c:extLst>
            <c:ext xmlns:c16="http://schemas.microsoft.com/office/drawing/2014/chart" uri="{C3380CC4-5D6E-409C-BE32-E72D297353CC}">
              <c16:uniqueId val="{00000003-1394-42F6-BA45-B3C138969D5F}"/>
            </c:ext>
          </c:extLst>
        </c:ser>
        <c:ser>
          <c:idx val="7"/>
          <c:order val="5"/>
          <c:tx>
            <c:strRef>
              <c:f>'Figure 1.10'!$G$2</c:f>
              <c:strCache>
                <c:ptCount val="1"/>
                <c:pt idx="0">
                  <c:v>Real GDP</c:v>
                </c:pt>
              </c:strCache>
            </c:strRef>
          </c:tx>
          <c:spPr>
            <a:solidFill>
              <a:srgbClr val="92D050"/>
            </a:solidFill>
            <a:ln w="19050">
              <a:noFill/>
            </a:ln>
          </c:spPr>
          <c:invertIfNegative val="0"/>
          <c:cat>
            <c:strRef>
              <c:f>'Figure 1.10'!$B$6:$B$8</c:f>
              <c:strCache>
                <c:ptCount val="3"/>
                <c:pt idx="0">
                  <c:v>Advanced economies</c:v>
                </c:pt>
                <c:pt idx="1">
                  <c:v>Emerging market economies excl. China</c:v>
                </c:pt>
                <c:pt idx="2">
                  <c:v>Low-income developing countries</c:v>
                </c:pt>
              </c:strCache>
            </c:strRef>
          </c:cat>
          <c:val>
            <c:numRef>
              <c:f>'Figure 1.10'!$G$6:$G$8</c:f>
              <c:numCache>
                <c:formatCode>0.0</c:formatCode>
                <c:ptCount val="3"/>
                <c:pt idx="0">
                  <c:v>4.9000000000000004</c:v>
                </c:pt>
                <c:pt idx="1">
                  <c:v>2.8</c:v>
                </c:pt>
                <c:pt idx="2">
                  <c:v>0</c:v>
                </c:pt>
              </c:numCache>
            </c:numRef>
          </c:val>
          <c:extLst>
            <c:ext xmlns:c16="http://schemas.microsoft.com/office/drawing/2014/chart" uri="{C3380CC4-5D6E-409C-BE32-E72D297353CC}">
              <c16:uniqueId val="{00000004-1394-42F6-BA45-B3C138969D5F}"/>
            </c:ext>
          </c:extLst>
        </c:ser>
        <c:dLbls>
          <c:showLegendKey val="0"/>
          <c:showVal val="0"/>
          <c:showCatName val="0"/>
          <c:showSerName val="0"/>
          <c:showPercent val="0"/>
          <c:showBubbleSize val="0"/>
        </c:dLbls>
        <c:gapWidth val="150"/>
        <c:overlap val="100"/>
        <c:axId val="1228613487"/>
        <c:axId val="1"/>
      </c:barChart>
      <c:lineChart>
        <c:grouping val="standard"/>
        <c:varyColors val="0"/>
        <c:ser>
          <c:idx val="4"/>
          <c:order val="3"/>
          <c:tx>
            <c:strRef>
              <c:f>'Figure 1.10'!$C$2</c:f>
              <c:strCache>
                <c:ptCount val="1"/>
                <c:pt idx="0">
                  <c:v>Change in debt-to-GDP</c:v>
                </c:pt>
              </c:strCache>
            </c:strRef>
          </c:tx>
          <c:spPr>
            <a:ln w="19050">
              <a:noFill/>
            </a:ln>
          </c:spPr>
          <c:marker>
            <c:symbol val="circle"/>
            <c:size val="7"/>
            <c:spPr>
              <a:solidFill>
                <a:schemeClr val="tx1"/>
              </a:solidFill>
              <a:ln>
                <a:solidFill>
                  <a:schemeClr val="tx1"/>
                </a:solidFill>
              </a:ln>
            </c:spPr>
          </c:marker>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Advanced Economies</c:v>
              </c:pt>
              <c:pt idx="1">
                <c:v>Emerging Market and Middle-Income Economies</c:v>
              </c:pt>
              <c:pt idx="2">
                <c:v>Emerging Market and Middle-Income Economies excl. China</c:v>
              </c:pt>
            </c:strLit>
          </c:cat>
          <c:val>
            <c:numRef>
              <c:f>'Figure 1.10'!$C$6:$C$8</c:f>
              <c:numCache>
                <c:formatCode>0.0</c:formatCode>
                <c:ptCount val="3"/>
                <c:pt idx="0">
                  <c:v>19.399999999999999</c:v>
                </c:pt>
                <c:pt idx="1">
                  <c:v>10.1</c:v>
                </c:pt>
                <c:pt idx="2">
                  <c:v>5.2</c:v>
                </c:pt>
              </c:numCache>
            </c:numRef>
          </c:val>
          <c:smooth val="0"/>
          <c:extLst>
            <c:ext xmlns:c16="http://schemas.microsoft.com/office/drawing/2014/chart" uri="{C3380CC4-5D6E-409C-BE32-E72D297353CC}">
              <c16:uniqueId val="{00000005-1394-42F6-BA45-B3C138969D5F}"/>
            </c:ext>
          </c:extLst>
        </c:ser>
        <c:dLbls>
          <c:showLegendKey val="0"/>
          <c:showVal val="0"/>
          <c:showCatName val="0"/>
          <c:showSerName val="0"/>
          <c:showPercent val="0"/>
          <c:showBubbleSize val="0"/>
        </c:dLbls>
        <c:marker val="1"/>
        <c:smooth val="0"/>
        <c:axId val="1228613487"/>
        <c:axId val="1"/>
      </c:lineChart>
      <c:catAx>
        <c:axId val="1228613487"/>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vert="horz"/>
          <a:lstStyle/>
          <a:p>
            <a:pPr>
              <a:defRPr>
                <a:solidFill>
                  <a:sysClr val="windowText" lastClr="000000"/>
                </a:solidFill>
              </a:defRPr>
            </a:pPr>
            <a:endParaRPr lang="en-US"/>
          </a:p>
        </c:txPr>
        <c:crossAx val="1"/>
        <c:crosses val="autoZero"/>
        <c:auto val="1"/>
        <c:lblAlgn val="ctr"/>
        <c:lblOffset val="100"/>
        <c:noMultiLvlLbl val="0"/>
      </c:catAx>
      <c:valAx>
        <c:axId val="1"/>
        <c:scaling>
          <c:orientation val="minMax"/>
          <c:max val="25"/>
        </c:scaling>
        <c:delete val="0"/>
        <c:axPos val="l"/>
        <c:numFmt formatCode="0" sourceLinked="0"/>
        <c:majorTickMark val="in"/>
        <c:minorTickMark val="none"/>
        <c:tickLblPos val="nextTo"/>
        <c:spPr>
          <a:noFill/>
          <a:ln w="12700">
            <a:solidFill>
              <a:schemeClr val="tx1"/>
            </a:solidFill>
          </a:ln>
          <a:effectLst/>
        </c:spPr>
        <c:txPr>
          <a:bodyPr rot="-60000000" vert="horz"/>
          <a:lstStyle/>
          <a:p>
            <a:pPr>
              <a:defRPr/>
            </a:pPr>
            <a:endParaRPr lang="en-US"/>
          </a:p>
        </c:txPr>
        <c:crossAx val="1228613487"/>
        <c:crosses val="autoZero"/>
        <c:crossBetween val="between"/>
      </c:valAx>
    </c:plotArea>
    <c:legend>
      <c:legendPos val="r"/>
      <c:layout>
        <c:manualLayout>
          <c:xMode val="edge"/>
          <c:yMode val="edge"/>
          <c:x val="0.51473158669537566"/>
          <c:y val="1.8688270902553364E-3"/>
          <c:w val="0.47579675295079138"/>
          <c:h val="0.30512342026610834"/>
        </c:manualLayout>
      </c:layout>
      <c:overlay val="0"/>
    </c:legend>
    <c:plotVisOnly val="1"/>
    <c:dispBlanksAs val="gap"/>
    <c:showDLblsOverMax val="0"/>
  </c:chart>
  <c:spPr>
    <a:noFill/>
    <a:ln w="6350">
      <a:noFill/>
    </a:ln>
  </c:spPr>
  <c:txPr>
    <a:bodyPr/>
    <a:lstStyle/>
    <a:p>
      <a:pPr>
        <a:defRPr sz="12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86513176649387E-2"/>
          <c:y val="1.9138525852090756E-2"/>
          <c:w val="0.86602697364670123"/>
          <c:h val="0.79941407171834089"/>
        </c:manualLayout>
      </c:layout>
      <c:barChart>
        <c:barDir val="col"/>
        <c:grouping val="stacked"/>
        <c:varyColors val="0"/>
        <c:ser>
          <c:idx val="0"/>
          <c:order val="0"/>
          <c:tx>
            <c:strRef>
              <c:f>'Figure 1.10'!$D$2</c:f>
              <c:strCache>
                <c:ptCount val="1"/>
                <c:pt idx="0">
                  <c:v>Primary deficit</c:v>
                </c:pt>
              </c:strCache>
            </c:strRef>
          </c:tx>
          <c:spPr>
            <a:solidFill>
              <a:srgbClr val="C00000"/>
            </a:solidFill>
            <a:ln w="25400">
              <a:noFill/>
            </a:ln>
          </c:spPr>
          <c:invertIfNegative val="0"/>
          <c:cat>
            <c:strRef>
              <c:f>'Figure 1.10'!$B$9:$B$11</c:f>
              <c:strCache>
                <c:ptCount val="3"/>
                <c:pt idx="0">
                  <c:v>Advanced economies</c:v>
                </c:pt>
                <c:pt idx="1">
                  <c:v>Emerging market economies excl. China</c:v>
                </c:pt>
                <c:pt idx="2">
                  <c:v>Low-income developing countries</c:v>
                </c:pt>
              </c:strCache>
            </c:strRef>
          </c:cat>
          <c:val>
            <c:numRef>
              <c:f>'Figure 1.10'!$D$9:$D$11</c:f>
              <c:numCache>
                <c:formatCode>0.0</c:formatCode>
                <c:ptCount val="3"/>
                <c:pt idx="0">
                  <c:v>6.2</c:v>
                </c:pt>
                <c:pt idx="1">
                  <c:v>2.1</c:v>
                </c:pt>
                <c:pt idx="2">
                  <c:v>3</c:v>
                </c:pt>
              </c:numCache>
            </c:numRef>
          </c:val>
          <c:extLst>
            <c:ext xmlns:c16="http://schemas.microsoft.com/office/drawing/2014/chart" uri="{C3380CC4-5D6E-409C-BE32-E72D297353CC}">
              <c16:uniqueId val="{00000000-E139-400C-BC81-AD6F988AE5B2}"/>
            </c:ext>
          </c:extLst>
        </c:ser>
        <c:ser>
          <c:idx val="1"/>
          <c:order val="1"/>
          <c:tx>
            <c:strRef>
              <c:f>'Figure 1.10'!$H$2</c:f>
              <c:strCache>
                <c:ptCount val="1"/>
                <c:pt idx="0">
                  <c:v>Stock-flow adjustment</c:v>
                </c:pt>
              </c:strCache>
            </c:strRef>
          </c:tx>
          <c:spPr>
            <a:solidFill>
              <a:srgbClr val="A5A5A5"/>
            </a:solidFill>
            <a:ln w="25400">
              <a:noFill/>
            </a:ln>
          </c:spPr>
          <c:invertIfNegative val="0"/>
          <c:cat>
            <c:strRef>
              <c:f>'Figure 1.10'!$B$9:$B$11</c:f>
              <c:strCache>
                <c:ptCount val="3"/>
                <c:pt idx="0">
                  <c:v>Advanced economies</c:v>
                </c:pt>
                <c:pt idx="1">
                  <c:v>Emerging market economies excl. China</c:v>
                </c:pt>
                <c:pt idx="2">
                  <c:v>Low-income developing countries</c:v>
                </c:pt>
              </c:strCache>
            </c:strRef>
          </c:cat>
          <c:val>
            <c:numRef>
              <c:f>'Figure 1.10'!$H$9:$H$11</c:f>
              <c:numCache>
                <c:formatCode>0.0</c:formatCode>
                <c:ptCount val="3"/>
                <c:pt idx="0">
                  <c:v>-2.2999999999999998</c:v>
                </c:pt>
                <c:pt idx="1">
                  <c:v>2.2000000000000002</c:v>
                </c:pt>
                <c:pt idx="2">
                  <c:v>1.6</c:v>
                </c:pt>
              </c:numCache>
            </c:numRef>
          </c:val>
          <c:extLst>
            <c:ext xmlns:c16="http://schemas.microsoft.com/office/drawing/2014/chart" uri="{C3380CC4-5D6E-409C-BE32-E72D297353CC}">
              <c16:uniqueId val="{00000001-E139-400C-BC81-AD6F988AE5B2}"/>
            </c:ext>
          </c:extLst>
        </c:ser>
        <c:ser>
          <c:idx val="2"/>
          <c:order val="2"/>
          <c:tx>
            <c:strRef>
              <c:f>'Figure 1.10'!$E$2</c:f>
              <c:strCache>
                <c:ptCount val="1"/>
                <c:pt idx="0">
                  <c:v>Nominal interest rate</c:v>
                </c:pt>
              </c:strCache>
            </c:strRef>
          </c:tx>
          <c:spPr>
            <a:solidFill>
              <a:srgbClr val="FFC000"/>
            </a:solidFill>
            <a:ln w="25400">
              <a:noFill/>
            </a:ln>
          </c:spPr>
          <c:invertIfNegative val="0"/>
          <c:cat>
            <c:strRef>
              <c:f>'Figure 1.10'!$B$9:$B$11</c:f>
              <c:strCache>
                <c:ptCount val="3"/>
                <c:pt idx="0">
                  <c:v>Advanced economies</c:v>
                </c:pt>
                <c:pt idx="1">
                  <c:v>Emerging market economies excl. China</c:v>
                </c:pt>
                <c:pt idx="2">
                  <c:v>Low-income developing countries</c:v>
                </c:pt>
              </c:strCache>
            </c:strRef>
          </c:cat>
          <c:val>
            <c:numRef>
              <c:f>'Figure 1.10'!$E$9:$E$11</c:f>
              <c:numCache>
                <c:formatCode>0.0</c:formatCode>
                <c:ptCount val="3"/>
                <c:pt idx="0">
                  <c:v>1.5</c:v>
                </c:pt>
                <c:pt idx="1">
                  <c:v>2.8</c:v>
                </c:pt>
                <c:pt idx="2">
                  <c:v>2</c:v>
                </c:pt>
              </c:numCache>
            </c:numRef>
          </c:val>
          <c:extLst>
            <c:ext xmlns:c16="http://schemas.microsoft.com/office/drawing/2014/chart" uri="{C3380CC4-5D6E-409C-BE32-E72D297353CC}">
              <c16:uniqueId val="{00000002-E139-400C-BC81-AD6F988AE5B2}"/>
            </c:ext>
          </c:extLst>
        </c:ser>
        <c:ser>
          <c:idx val="6"/>
          <c:order val="4"/>
          <c:tx>
            <c:strRef>
              <c:f>'Figure 1.10'!$F$2</c:f>
              <c:strCache>
                <c:ptCount val="1"/>
                <c:pt idx="0">
                  <c:v>Inflation</c:v>
                </c:pt>
              </c:strCache>
            </c:strRef>
          </c:tx>
          <c:spPr>
            <a:solidFill>
              <a:schemeClr val="accent5"/>
            </a:solidFill>
            <a:ln w="19050">
              <a:noFill/>
            </a:ln>
          </c:spPr>
          <c:invertIfNegative val="0"/>
          <c:cat>
            <c:strRef>
              <c:f>'Figure 1.10'!$B$9:$B$11</c:f>
              <c:strCache>
                <c:ptCount val="3"/>
                <c:pt idx="0">
                  <c:v>Advanced economies</c:v>
                </c:pt>
                <c:pt idx="1">
                  <c:v>Emerging market economies excl. China</c:v>
                </c:pt>
                <c:pt idx="2">
                  <c:v>Low-income developing countries</c:v>
                </c:pt>
              </c:strCache>
            </c:strRef>
          </c:cat>
          <c:val>
            <c:numRef>
              <c:f>'Figure 1.10'!$F$9:$F$11</c:f>
              <c:numCache>
                <c:formatCode>0.0</c:formatCode>
                <c:ptCount val="3"/>
                <c:pt idx="0">
                  <c:v>-3.2</c:v>
                </c:pt>
                <c:pt idx="1">
                  <c:v>-6.2</c:v>
                </c:pt>
                <c:pt idx="2">
                  <c:v>-2.6</c:v>
                </c:pt>
              </c:numCache>
            </c:numRef>
          </c:val>
          <c:extLst>
            <c:ext xmlns:c16="http://schemas.microsoft.com/office/drawing/2014/chart" uri="{C3380CC4-5D6E-409C-BE32-E72D297353CC}">
              <c16:uniqueId val="{00000003-E139-400C-BC81-AD6F988AE5B2}"/>
            </c:ext>
          </c:extLst>
        </c:ser>
        <c:ser>
          <c:idx val="7"/>
          <c:order val="5"/>
          <c:tx>
            <c:strRef>
              <c:f>'Figure 1.10'!$G$2</c:f>
              <c:strCache>
                <c:ptCount val="1"/>
                <c:pt idx="0">
                  <c:v>Real GDP</c:v>
                </c:pt>
              </c:strCache>
            </c:strRef>
          </c:tx>
          <c:spPr>
            <a:solidFill>
              <a:srgbClr val="92D050"/>
            </a:solidFill>
            <a:ln w="19050">
              <a:noFill/>
            </a:ln>
          </c:spPr>
          <c:invertIfNegative val="0"/>
          <c:cat>
            <c:strRef>
              <c:f>'Figure 1.10'!$B$9:$B$11</c:f>
              <c:strCache>
                <c:ptCount val="3"/>
                <c:pt idx="0">
                  <c:v>Advanced economies</c:v>
                </c:pt>
                <c:pt idx="1">
                  <c:v>Emerging market economies excl. China</c:v>
                </c:pt>
                <c:pt idx="2">
                  <c:v>Low-income developing countries</c:v>
                </c:pt>
              </c:strCache>
            </c:strRef>
          </c:cat>
          <c:val>
            <c:numRef>
              <c:f>'Figure 1.10'!$G$9:$G$11</c:f>
              <c:numCache>
                <c:formatCode>0.0</c:formatCode>
                <c:ptCount val="3"/>
                <c:pt idx="0">
                  <c:v>-6</c:v>
                </c:pt>
                <c:pt idx="1">
                  <c:v>-4</c:v>
                </c:pt>
                <c:pt idx="2">
                  <c:v>-1.7</c:v>
                </c:pt>
              </c:numCache>
            </c:numRef>
          </c:val>
          <c:extLst>
            <c:ext xmlns:c16="http://schemas.microsoft.com/office/drawing/2014/chart" uri="{C3380CC4-5D6E-409C-BE32-E72D297353CC}">
              <c16:uniqueId val="{00000004-E139-400C-BC81-AD6F988AE5B2}"/>
            </c:ext>
          </c:extLst>
        </c:ser>
        <c:dLbls>
          <c:showLegendKey val="0"/>
          <c:showVal val="0"/>
          <c:showCatName val="0"/>
          <c:showSerName val="0"/>
          <c:showPercent val="0"/>
          <c:showBubbleSize val="0"/>
        </c:dLbls>
        <c:gapWidth val="150"/>
        <c:overlap val="100"/>
        <c:axId val="1228608079"/>
        <c:axId val="1"/>
      </c:barChart>
      <c:lineChart>
        <c:grouping val="standard"/>
        <c:varyColors val="0"/>
        <c:ser>
          <c:idx val="4"/>
          <c:order val="3"/>
          <c:tx>
            <c:strRef>
              <c:f>'Figure 1.10'!$C$2</c:f>
              <c:strCache>
                <c:ptCount val="1"/>
                <c:pt idx="0">
                  <c:v>Change in debt-to-GDP</c:v>
                </c:pt>
              </c:strCache>
            </c:strRef>
          </c:tx>
          <c:spPr>
            <a:ln w="19050">
              <a:noFill/>
            </a:ln>
          </c:spPr>
          <c:marker>
            <c:symbol val="circle"/>
            <c:size val="7"/>
            <c:spPr>
              <a:solidFill>
                <a:schemeClr val="tx1"/>
              </a:solidFill>
              <a:ln>
                <a:solidFill>
                  <a:schemeClr val="tx1"/>
                </a:solidFill>
              </a:ln>
            </c:spPr>
          </c:marker>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Advanced Economies</c:v>
              </c:pt>
              <c:pt idx="1">
                <c:v>Emerging Market and Middle-Income Economies</c:v>
              </c:pt>
              <c:pt idx="2">
                <c:v>Emerging Market and Middle-Income Economies excl. China</c:v>
              </c:pt>
            </c:strLit>
          </c:cat>
          <c:val>
            <c:numRef>
              <c:f>'Figure 1.10'!$C$9:$C$11</c:f>
              <c:numCache>
                <c:formatCode>0.0</c:formatCode>
                <c:ptCount val="3"/>
                <c:pt idx="0">
                  <c:v>-3.8</c:v>
                </c:pt>
                <c:pt idx="1">
                  <c:v>-3.1</c:v>
                </c:pt>
                <c:pt idx="2">
                  <c:v>2.2999999999999998</c:v>
                </c:pt>
              </c:numCache>
            </c:numRef>
          </c:val>
          <c:smooth val="0"/>
          <c:extLst>
            <c:ext xmlns:c16="http://schemas.microsoft.com/office/drawing/2014/chart" uri="{C3380CC4-5D6E-409C-BE32-E72D297353CC}">
              <c16:uniqueId val="{00000005-E139-400C-BC81-AD6F988AE5B2}"/>
            </c:ext>
          </c:extLst>
        </c:ser>
        <c:dLbls>
          <c:showLegendKey val="0"/>
          <c:showVal val="0"/>
          <c:showCatName val="0"/>
          <c:showSerName val="0"/>
          <c:showPercent val="0"/>
          <c:showBubbleSize val="0"/>
        </c:dLbls>
        <c:marker val="1"/>
        <c:smooth val="0"/>
        <c:axId val="1228608079"/>
        <c:axId val="1"/>
      </c:lineChart>
      <c:catAx>
        <c:axId val="1228608079"/>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vert="horz"/>
          <a:lstStyle/>
          <a:p>
            <a:pPr>
              <a:defRPr>
                <a:solidFill>
                  <a:sysClr val="windowText" lastClr="000000"/>
                </a:solidFill>
              </a:defRPr>
            </a:pPr>
            <a:endParaRPr lang="en-US"/>
          </a:p>
        </c:txPr>
        <c:crossAx val="1"/>
        <c:crosses val="autoZero"/>
        <c:auto val="1"/>
        <c:lblAlgn val="ctr"/>
        <c:lblOffset val="100"/>
        <c:noMultiLvlLbl val="0"/>
      </c:catAx>
      <c:valAx>
        <c:axId val="1"/>
        <c:scaling>
          <c:orientation val="minMax"/>
          <c:max val="25"/>
        </c:scaling>
        <c:delete val="0"/>
        <c:axPos val="l"/>
        <c:numFmt formatCode="0" sourceLinked="0"/>
        <c:majorTickMark val="in"/>
        <c:minorTickMark val="none"/>
        <c:tickLblPos val="nextTo"/>
        <c:spPr>
          <a:noFill/>
          <a:ln w="12700">
            <a:solidFill>
              <a:schemeClr val="tx1"/>
            </a:solidFill>
          </a:ln>
          <a:effectLst/>
        </c:spPr>
        <c:txPr>
          <a:bodyPr rot="-60000000" vert="horz"/>
          <a:lstStyle/>
          <a:p>
            <a:pPr>
              <a:defRPr/>
            </a:pPr>
            <a:endParaRPr lang="en-US"/>
          </a:p>
        </c:txPr>
        <c:crossAx val="1228608079"/>
        <c:crosses val="autoZero"/>
        <c:crossBetween val="between"/>
      </c:valAx>
    </c:plotArea>
    <c:legend>
      <c:legendPos val="r"/>
      <c:layout>
        <c:manualLayout>
          <c:xMode val="edge"/>
          <c:yMode val="edge"/>
          <c:x val="0.514731606129879"/>
          <c:y val="1.8688840365542541E-3"/>
          <c:w val="0.47579671492676323"/>
          <c:h val="0.3051233301719638"/>
        </c:manualLayout>
      </c:layout>
      <c:overlay val="0"/>
    </c:legend>
    <c:plotVisOnly val="1"/>
    <c:dispBlanksAs val="gap"/>
    <c:showDLblsOverMax val="0"/>
  </c:chart>
  <c:spPr>
    <a:noFill/>
    <a:ln w="6350">
      <a:noFill/>
    </a:ln>
  </c:spPr>
  <c:txPr>
    <a:bodyPr/>
    <a:lstStyle/>
    <a:p>
      <a:pPr>
        <a:defRPr sz="12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86513176649387E-2"/>
          <c:y val="1.9138525852090756E-2"/>
          <c:w val="0.86602697364670123"/>
          <c:h val="0.79941407171834089"/>
        </c:manualLayout>
      </c:layout>
      <c:barChart>
        <c:barDir val="col"/>
        <c:grouping val="stacked"/>
        <c:varyColors val="0"/>
        <c:ser>
          <c:idx val="0"/>
          <c:order val="0"/>
          <c:tx>
            <c:strRef>
              <c:f>'Figure 1.10'!$D$2</c:f>
              <c:strCache>
                <c:ptCount val="1"/>
                <c:pt idx="0">
                  <c:v>Primary deficit</c:v>
                </c:pt>
              </c:strCache>
            </c:strRef>
          </c:tx>
          <c:spPr>
            <a:solidFill>
              <a:srgbClr val="C00000"/>
            </a:solidFill>
            <a:ln w="25400">
              <a:noFill/>
            </a:ln>
          </c:spPr>
          <c:invertIfNegative val="0"/>
          <c:cat>
            <c:strRef>
              <c:f>'Figure 1.10'!$B$12:$B$14</c:f>
              <c:strCache>
                <c:ptCount val="3"/>
                <c:pt idx="0">
                  <c:v>Advanced economies</c:v>
                </c:pt>
                <c:pt idx="1">
                  <c:v>Emerging market economies excl. China</c:v>
                </c:pt>
                <c:pt idx="2">
                  <c:v>Low-income developing countries</c:v>
                </c:pt>
              </c:strCache>
            </c:strRef>
          </c:cat>
          <c:val>
            <c:numRef>
              <c:f>'Figure 1.10'!$D$12:$D$14</c:f>
              <c:numCache>
                <c:formatCode>0.0</c:formatCode>
                <c:ptCount val="3"/>
                <c:pt idx="0">
                  <c:v>2.8</c:v>
                </c:pt>
                <c:pt idx="1">
                  <c:v>1.4</c:v>
                </c:pt>
                <c:pt idx="2">
                  <c:v>2.4</c:v>
                </c:pt>
              </c:numCache>
            </c:numRef>
          </c:val>
          <c:extLst>
            <c:ext xmlns:c16="http://schemas.microsoft.com/office/drawing/2014/chart" uri="{C3380CC4-5D6E-409C-BE32-E72D297353CC}">
              <c16:uniqueId val="{00000000-496E-42D7-9B37-4FB20F083776}"/>
            </c:ext>
          </c:extLst>
        </c:ser>
        <c:ser>
          <c:idx val="1"/>
          <c:order val="1"/>
          <c:tx>
            <c:strRef>
              <c:f>'Figure 1.10'!$H$2</c:f>
              <c:strCache>
                <c:ptCount val="1"/>
                <c:pt idx="0">
                  <c:v>Stock-flow adjustment</c:v>
                </c:pt>
              </c:strCache>
            </c:strRef>
          </c:tx>
          <c:spPr>
            <a:solidFill>
              <a:srgbClr val="A5A5A5"/>
            </a:solidFill>
            <a:ln w="25400">
              <a:noFill/>
            </a:ln>
          </c:spPr>
          <c:invertIfNegative val="0"/>
          <c:cat>
            <c:strRef>
              <c:f>'Figure 1.10'!$B$12:$B$14</c:f>
              <c:strCache>
                <c:ptCount val="3"/>
                <c:pt idx="0">
                  <c:v>Advanced economies</c:v>
                </c:pt>
                <c:pt idx="1">
                  <c:v>Emerging market economies excl. China</c:v>
                </c:pt>
                <c:pt idx="2">
                  <c:v>Low-income developing countries</c:v>
                </c:pt>
              </c:strCache>
            </c:strRef>
          </c:cat>
          <c:val>
            <c:numRef>
              <c:f>'Figure 1.10'!$H$12:$H$14</c:f>
              <c:numCache>
                <c:formatCode>0.0</c:formatCode>
                <c:ptCount val="3"/>
                <c:pt idx="0">
                  <c:v>0.6</c:v>
                </c:pt>
                <c:pt idx="1">
                  <c:v>3.1</c:v>
                </c:pt>
                <c:pt idx="2">
                  <c:v>2.6</c:v>
                </c:pt>
              </c:numCache>
            </c:numRef>
          </c:val>
          <c:extLst>
            <c:ext xmlns:c16="http://schemas.microsoft.com/office/drawing/2014/chart" uri="{C3380CC4-5D6E-409C-BE32-E72D297353CC}">
              <c16:uniqueId val="{00000001-496E-42D7-9B37-4FB20F083776}"/>
            </c:ext>
          </c:extLst>
        </c:ser>
        <c:ser>
          <c:idx val="2"/>
          <c:order val="2"/>
          <c:tx>
            <c:strRef>
              <c:f>'Figure 1.10'!$E$2</c:f>
              <c:strCache>
                <c:ptCount val="1"/>
                <c:pt idx="0">
                  <c:v>Nominal interest rate</c:v>
                </c:pt>
              </c:strCache>
            </c:strRef>
          </c:tx>
          <c:spPr>
            <a:solidFill>
              <a:srgbClr val="FFC000"/>
            </a:solidFill>
            <a:ln w="25400">
              <a:noFill/>
            </a:ln>
          </c:spPr>
          <c:invertIfNegative val="0"/>
          <c:cat>
            <c:strRef>
              <c:f>'Figure 1.10'!$B$12:$B$14</c:f>
              <c:strCache>
                <c:ptCount val="3"/>
                <c:pt idx="0">
                  <c:v>Advanced economies</c:v>
                </c:pt>
                <c:pt idx="1">
                  <c:v>Emerging market economies excl. China</c:v>
                </c:pt>
                <c:pt idx="2">
                  <c:v>Low-income developing countries</c:v>
                </c:pt>
              </c:strCache>
            </c:strRef>
          </c:cat>
          <c:val>
            <c:numRef>
              <c:f>'Figure 1.10'!$E$12:$E$14</c:f>
              <c:numCache>
                <c:formatCode>0.0</c:formatCode>
                <c:ptCount val="3"/>
                <c:pt idx="0">
                  <c:v>1.5</c:v>
                </c:pt>
                <c:pt idx="1">
                  <c:v>2.9</c:v>
                </c:pt>
                <c:pt idx="2">
                  <c:v>2.1</c:v>
                </c:pt>
              </c:numCache>
            </c:numRef>
          </c:val>
          <c:extLst>
            <c:ext xmlns:c16="http://schemas.microsoft.com/office/drawing/2014/chart" uri="{C3380CC4-5D6E-409C-BE32-E72D297353CC}">
              <c16:uniqueId val="{00000002-496E-42D7-9B37-4FB20F083776}"/>
            </c:ext>
          </c:extLst>
        </c:ser>
        <c:ser>
          <c:idx val="6"/>
          <c:order val="4"/>
          <c:tx>
            <c:strRef>
              <c:f>'Figure 1.10'!$F$2</c:f>
              <c:strCache>
                <c:ptCount val="1"/>
                <c:pt idx="0">
                  <c:v>Inflation</c:v>
                </c:pt>
              </c:strCache>
            </c:strRef>
          </c:tx>
          <c:spPr>
            <a:solidFill>
              <a:schemeClr val="accent5"/>
            </a:solidFill>
            <a:ln w="19050">
              <a:noFill/>
            </a:ln>
          </c:spPr>
          <c:invertIfNegative val="0"/>
          <c:cat>
            <c:strRef>
              <c:f>'Figure 1.10'!$B$12:$B$14</c:f>
              <c:strCache>
                <c:ptCount val="3"/>
                <c:pt idx="0">
                  <c:v>Advanced economies</c:v>
                </c:pt>
                <c:pt idx="1">
                  <c:v>Emerging market economies excl. China</c:v>
                </c:pt>
                <c:pt idx="2">
                  <c:v>Low-income developing countries</c:v>
                </c:pt>
              </c:strCache>
            </c:strRef>
          </c:cat>
          <c:val>
            <c:numRef>
              <c:f>'Figure 1.10'!$F$12:$F$14</c:f>
              <c:numCache>
                <c:formatCode>0.0</c:formatCode>
                <c:ptCount val="3"/>
                <c:pt idx="0">
                  <c:v>-5.6</c:v>
                </c:pt>
                <c:pt idx="1">
                  <c:v>-6.9</c:v>
                </c:pt>
                <c:pt idx="2">
                  <c:v>-3.5</c:v>
                </c:pt>
              </c:numCache>
            </c:numRef>
          </c:val>
          <c:extLst>
            <c:ext xmlns:c16="http://schemas.microsoft.com/office/drawing/2014/chart" uri="{C3380CC4-5D6E-409C-BE32-E72D297353CC}">
              <c16:uniqueId val="{00000003-496E-42D7-9B37-4FB20F083776}"/>
            </c:ext>
          </c:extLst>
        </c:ser>
        <c:ser>
          <c:idx val="7"/>
          <c:order val="5"/>
          <c:tx>
            <c:strRef>
              <c:f>'Figure 1.10'!$G$2</c:f>
              <c:strCache>
                <c:ptCount val="1"/>
                <c:pt idx="0">
                  <c:v>Real GDP</c:v>
                </c:pt>
              </c:strCache>
            </c:strRef>
          </c:tx>
          <c:spPr>
            <a:solidFill>
              <a:srgbClr val="92D050"/>
            </a:solidFill>
            <a:ln w="19050">
              <a:noFill/>
            </a:ln>
          </c:spPr>
          <c:invertIfNegative val="0"/>
          <c:cat>
            <c:strRef>
              <c:f>'Figure 1.10'!$B$12:$B$14</c:f>
              <c:strCache>
                <c:ptCount val="3"/>
                <c:pt idx="0">
                  <c:v>Advanced economies</c:v>
                </c:pt>
                <c:pt idx="1">
                  <c:v>Emerging market economies excl. China</c:v>
                </c:pt>
                <c:pt idx="2">
                  <c:v>Low-income developing countries</c:v>
                </c:pt>
              </c:strCache>
            </c:strRef>
          </c:cat>
          <c:val>
            <c:numRef>
              <c:f>'Figure 1.10'!$G$12:$G$14</c:f>
              <c:numCache>
                <c:formatCode>0.0</c:formatCode>
                <c:ptCount val="3"/>
                <c:pt idx="0">
                  <c:v>-2.8</c:v>
                </c:pt>
                <c:pt idx="1">
                  <c:v>-2.5</c:v>
                </c:pt>
                <c:pt idx="2">
                  <c:v>-2</c:v>
                </c:pt>
              </c:numCache>
            </c:numRef>
          </c:val>
          <c:extLst>
            <c:ext xmlns:c16="http://schemas.microsoft.com/office/drawing/2014/chart" uri="{C3380CC4-5D6E-409C-BE32-E72D297353CC}">
              <c16:uniqueId val="{00000004-496E-42D7-9B37-4FB20F083776}"/>
            </c:ext>
          </c:extLst>
        </c:ser>
        <c:dLbls>
          <c:showLegendKey val="0"/>
          <c:showVal val="0"/>
          <c:showCatName val="0"/>
          <c:showSerName val="0"/>
          <c:showPercent val="0"/>
          <c:showBubbleSize val="0"/>
        </c:dLbls>
        <c:gapWidth val="150"/>
        <c:overlap val="100"/>
        <c:axId val="1228610991"/>
        <c:axId val="1"/>
      </c:barChart>
      <c:lineChart>
        <c:grouping val="standard"/>
        <c:varyColors val="0"/>
        <c:ser>
          <c:idx val="4"/>
          <c:order val="3"/>
          <c:tx>
            <c:strRef>
              <c:f>'Figure 1.10'!$C$2</c:f>
              <c:strCache>
                <c:ptCount val="1"/>
                <c:pt idx="0">
                  <c:v>Change in debt-to-GDP</c:v>
                </c:pt>
              </c:strCache>
            </c:strRef>
          </c:tx>
          <c:spPr>
            <a:ln w="19050">
              <a:noFill/>
            </a:ln>
          </c:spPr>
          <c:marker>
            <c:symbol val="circle"/>
            <c:size val="7"/>
            <c:spPr>
              <a:solidFill>
                <a:schemeClr val="tx1"/>
              </a:solidFill>
              <a:ln>
                <a:solidFill>
                  <a:schemeClr val="tx1"/>
                </a:solidFill>
              </a:ln>
            </c:spPr>
          </c:marker>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Advanced Economies</c:v>
              </c:pt>
              <c:pt idx="1">
                <c:v>Emerging Market and Middle-Income Economies</c:v>
              </c:pt>
              <c:pt idx="2">
                <c:v>Emerging Market and Middle-Income Economies excl. China</c:v>
              </c:pt>
            </c:strLit>
          </c:cat>
          <c:val>
            <c:numRef>
              <c:f>'Figure 1.10'!$C$12:$C$14</c:f>
              <c:numCache>
                <c:formatCode>0.0</c:formatCode>
                <c:ptCount val="3"/>
                <c:pt idx="0">
                  <c:v>-3.5</c:v>
                </c:pt>
                <c:pt idx="1">
                  <c:v>-2.1</c:v>
                </c:pt>
                <c:pt idx="2">
                  <c:v>1.7</c:v>
                </c:pt>
              </c:numCache>
            </c:numRef>
          </c:val>
          <c:smooth val="0"/>
          <c:extLst>
            <c:ext xmlns:c16="http://schemas.microsoft.com/office/drawing/2014/chart" uri="{C3380CC4-5D6E-409C-BE32-E72D297353CC}">
              <c16:uniqueId val="{00000005-496E-42D7-9B37-4FB20F083776}"/>
            </c:ext>
          </c:extLst>
        </c:ser>
        <c:dLbls>
          <c:showLegendKey val="0"/>
          <c:showVal val="0"/>
          <c:showCatName val="0"/>
          <c:showSerName val="0"/>
          <c:showPercent val="0"/>
          <c:showBubbleSize val="0"/>
        </c:dLbls>
        <c:marker val="1"/>
        <c:smooth val="0"/>
        <c:axId val="1228610991"/>
        <c:axId val="1"/>
      </c:lineChart>
      <c:catAx>
        <c:axId val="1228610991"/>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vert="horz"/>
          <a:lstStyle/>
          <a:p>
            <a:pPr>
              <a:defRPr>
                <a:solidFill>
                  <a:sysClr val="windowText" lastClr="000000"/>
                </a:solidFill>
              </a:defRPr>
            </a:pPr>
            <a:endParaRPr lang="en-US"/>
          </a:p>
        </c:txPr>
        <c:crossAx val="1"/>
        <c:crosses val="autoZero"/>
        <c:auto val="1"/>
        <c:lblAlgn val="ctr"/>
        <c:lblOffset val="100"/>
        <c:noMultiLvlLbl val="0"/>
      </c:catAx>
      <c:valAx>
        <c:axId val="1"/>
        <c:scaling>
          <c:orientation val="minMax"/>
          <c:max val="25"/>
        </c:scaling>
        <c:delete val="0"/>
        <c:axPos val="l"/>
        <c:numFmt formatCode="0" sourceLinked="0"/>
        <c:majorTickMark val="in"/>
        <c:minorTickMark val="none"/>
        <c:tickLblPos val="nextTo"/>
        <c:spPr>
          <a:noFill/>
          <a:ln w="12700">
            <a:solidFill>
              <a:schemeClr val="tx1"/>
            </a:solidFill>
          </a:ln>
          <a:effectLst/>
        </c:spPr>
        <c:txPr>
          <a:bodyPr rot="-60000000" vert="horz"/>
          <a:lstStyle/>
          <a:p>
            <a:pPr>
              <a:defRPr/>
            </a:pPr>
            <a:endParaRPr lang="en-US"/>
          </a:p>
        </c:txPr>
        <c:crossAx val="1228610991"/>
        <c:crosses val="autoZero"/>
        <c:crossBetween val="between"/>
      </c:valAx>
    </c:plotArea>
    <c:legend>
      <c:legendPos val="r"/>
      <c:layout>
        <c:manualLayout>
          <c:xMode val="edge"/>
          <c:yMode val="edge"/>
          <c:x val="0.51473164445993547"/>
          <c:y val="1.8688840365542541E-3"/>
          <c:w val="0.4757967225927745"/>
          <c:h val="0.3051233301719638"/>
        </c:manualLayout>
      </c:layout>
      <c:overlay val="0"/>
    </c:legend>
    <c:plotVisOnly val="1"/>
    <c:dispBlanksAs val="gap"/>
    <c:showDLblsOverMax val="0"/>
  </c:chart>
  <c:spPr>
    <a:noFill/>
    <a:ln w="6350">
      <a:noFill/>
    </a:ln>
  </c:spPr>
  <c:txPr>
    <a:bodyPr/>
    <a:lstStyle/>
    <a:p>
      <a:pPr>
        <a:defRPr sz="12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09924267784456E-2"/>
          <c:y val="4.7228512494332374E-2"/>
          <c:w val="0.91140892970633758"/>
          <c:h val="0.82322100248417851"/>
        </c:manualLayout>
      </c:layout>
      <c:barChart>
        <c:barDir val="col"/>
        <c:grouping val="stacked"/>
        <c:varyColors val="0"/>
        <c:ser>
          <c:idx val="1"/>
          <c:order val="1"/>
          <c:tx>
            <c:strRef>
              <c:f>'Figure 1.11'!$D$2</c:f>
              <c:strCache>
                <c:ptCount val="1"/>
                <c:pt idx="0">
                  <c:v>Primary deficit</c:v>
                </c:pt>
              </c:strCache>
            </c:strRef>
          </c:tx>
          <c:spPr>
            <a:solidFill>
              <a:srgbClr val="C00000"/>
            </a:solidFill>
            <a:ln w="25400">
              <a:noFill/>
            </a:ln>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1.11'!$D$3:$D$12</c:f>
              <c:numCache>
                <c:formatCode>0.00</c:formatCode>
                <c:ptCount val="10"/>
                <c:pt idx="0">
                  <c:v>6.6121077537536621</c:v>
                </c:pt>
                <c:pt idx="1">
                  <c:v>-6.356850266456604E-2</c:v>
                </c:pt>
                <c:pt idx="2">
                  <c:v>3.8811964988708496</c:v>
                </c:pt>
                <c:pt idx="3">
                  <c:v>-0.94105434417724609</c:v>
                </c:pt>
                <c:pt idx="4">
                  <c:v>3.0106325149536133</c:v>
                </c:pt>
                <c:pt idx="5">
                  <c:v>4.4187078475952148</c:v>
                </c:pt>
                <c:pt idx="6">
                  <c:v>5.854976549744606E-2</c:v>
                </c:pt>
                <c:pt idx="7">
                  <c:v>-1.3395024538040161</c:v>
                </c:pt>
                <c:pt idx="8">
                  <c:v>0.38929033279418945</c:v>
                </c:pt>
                <c:pt idx="9">
                  <c:v>1.4740411043167114</c:v>
                </c:pt>
              </c:numCache>
            </c:numRef>
          </c:val>
          <c:extLst>
            <c:ext xmlns:c16="http://schemas.microsoft.com/office/drawing/2014/chart" uri="{C3380CC4-5D6E-409C-BE32-E72D297353CC}">
              <c16:uniqueId val="{00000000-3BE4-4550-86D8-0EB6FF27B8A0}"/>
            </c:ext>
          </c:extLst>
        </c:ser>
        <c:ser>
          <c:idx val="2"/>
          <c:order val="2"/>
          <c:tx>
            <c:strRef>
              <c:f>'Figure 1.11'!$I$2</c:f>
              <c:strCache>
                <c:ptCount val="1"/>
                <c:pt idx="0">
                  <c:v>Stock-flow adjustment</c:v>
                </c:pt>
              </c:strCache>
            </c:strRef>
          </c:tx>
          <c:spPr>
            <a:solidFill>
              <a:srgbClr val="A5A5A5"/>
            </a:solidFill>
            <a:ln w="25400">
              <a:noFill/>
            </a:ln>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1.11'!$I$3:$I$12</c:f>
              <c:numCache>
                <c:formatCode>0.00</c:formatCode>
                <c:ptCount val="10"/>
                <c:pt idx="0">
                  <c:v>2.0609064102172852</c:v>
                </c:pt>
                <c:pt idx="1">
                  <c:v>1.6576594114303589</c:v>
                </c:pt>
                <c:pt idx="2">
                  <c:v>-0.17752170562744141</c:v>
                </c:pt>
                <c:pt idx="3">
                  <c:v>5.9584207534790039</c:v>
                </c:pt>
                <c:pt idx="4">
                  <c:v>-0.49048766493797302</c:v>
                </c:pt>
                <c:pt idx="5">
                  <c:v>0.26352420449256897</c:v>
                </c:pt>
                <c:pt idx="6">
                  <c:v>-0.70898205041885376</c:v>
                </c:pt>
                <c:pt idx="7">
                  <c:v>0.19037574529647827</c:v>
                </c:pt>
                <c:pt idx="8">
                  <c:v>2.8838303089141846</c:v>
                </c:pt>
                <c:pt idx="9">
                  <c:v>-1.8503695726394653</c:v>
                </c:pt>
              </c:numCache>
            </c:numRef>
          </c:val>
          <c:extLst>
            <c:ext xmlns:c16="http://schemas.microsoft.com/office/drawing/2014/chart" uri="{C3380CC4-5D6E-409C-BE32-E72D297353CC}">
              <c16:uniqueId val="{00000001-3BE4-4550-86D8-0EB6FF27B8A0}"/>
            </c:ext>
          </c:extLst>
        </c:ser>
        <c:ser>
          <c:idx val="3"/>
          <c:order val="3"/>
          <c:tx>
            <c:strRef>
              <c:f>'Figure 1.11'!$E$2</c:f>
              <c:strCache>
                <c:ptCount val="1"/>
                <c:pt idx="0">
                  <c:v>Nominal interest rate</c:v>
                </c:pt>
              </c:strCache>
            </c:strRef>
          </c:tx>
          <c:spPr>
            <a:solidFill>
              <a:srgbClr val="FFC000"/>
            </a:solidFill>
            <a:ln w="25400">
              <a:noFill/>
            </a:ln>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1.11'!$E$3:$E$12</c:f>
              <c:numCache>
                <c:formatCode>0.00</c:formatCode>
                <c:ptCount val="10"/>
                <c:pt idx="0">
                  <c:v>0.93143022060394287</c:v>
                </c:pt>
                <c:pt idx="1">
                  <c:v>4.5487985610961914</c:v>
                </c:pt>
                <c:pt idx="2">
                  <c:v>2.2473993301391602</c:v>
                </c:pt>
                <c:pt idx="3">
                  <c:v>-0.39303076267242432</c:v>
                </c:pt>
                <c:pt idx="4">
                  <c:v>1.8409682512283325</c:v>
                </c:pt>
                <c:pt idx="5">
                  <c:v>5.1760039329528809</c:v>
                </c:pt>
                <c:pt idx="6">
                  <c:v>4.3716073036193848</c:v>
                </c:pt>
                <c:pt idx="7">
                  <c:v>5.9143514633178711</c:v>
                </c:pt>
                <c:pt idx="8">
                  <c:v>1.2460479736328125</c:v>
                </c:pt>
                <c:pt idx="9">
                  <c:v>2.5252656936645508</c:v>
                </c:pt>
              </c:numCache>
            </c:numRef>
          </c:val>
          <c:extLst>
            <c:ext xmlns:c16="http://schemas.microsoft.com/office/drawing/2014/chart" uri="{C3380CC4-5D6E-409C-BE32-E72D297353CC}">
              <c16:uniqueId val="{00000002-3BE4-4550-86D8-0EB6FF27B8A0}"/>
            </c:ext>
          </c:extLst>
        </c:ser>
        <c:ser>
          <c:idx val="4"/>
          <c:order val="4"/>
          <c:tx>
            <c:strRef>
              <c:f>'Figure 1.11'!$F$2</c:f>
              <c:strCache>
                <c:ptCount val="1"/>
                <c:pt idx="0">
                  <c:v>Inflation</c:v>
                </c:pt>
              </c:strCache>
            </c:strRef>
          </c:tx>
          <c:spPr>
            <a:solidFill>
              <a:srgbClr val="5B9BD5"/>
            </a:solidFill>
            <a:ln w="25400">
              <a:noFill/>
            </a:ln>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1.11'!$F$3:$F$12</c:f>
              <c:numCache>
                <c:formatCode>0.00</c:formatCode>
                <c:ptCount val="10"/>
                <c:pt idx="0">
                  <c:v>-2.2831535339355469</c:v>
                </c:pt>
                <c:pt idx="1">
                  <c:v>-3.2522292137145996</c:v>
                </c:pt>
                <c:pt idx="2">
                  <c:v>-4.3015084266662598</c:v>
                </c:pt>
                <c:pt idx="3">
                  <c:v>-2.2073128223419189</c:v>
                </c:pt>
                <c:pt idx="4">
                  <c:v>-3.2289807796478271</c:v>
                </c:pt>
                <c:pt idx="5">
                  <c:v>-6.2667851448059082</c:v>
                </c:pt>
                <c:pt idx="6">
                  <c:v>-3.735166072845459</c:v>
                </c:pt>
                <c:pt idx="7">
                  <c:v>-6.7441558837890625</c:v>
                </c:pt>
                <c:pt idx="8">
                  <c:v>-19.406620025634766</c:v>
                </c:pt>
                <c:pt idx="9">
                  <c:v>-14.220316886901855</c:v>
                </c:pt>
              </c:numCache>
            </c:numRef>
          </c:val>
          <c:extLst>
            <c:ext xmlns:c16="http://schemas.microsoft.com/office/drawing/2014/chart" uri="{C3380CC4-5D6E-409C-BE32-E72D297353CC}">
              <c16:uniqueId val="{00000003-3BE4-4550-86D8-0EB6FF27B8A0}"/>
            </c:ext>
          </c:extLst>
        </c:ser>
        <c:ser>
          <c:idx val="5"/>
          <c:order val="5"/>
          <c:tx>
            <c:strRef>
              <c:f>'Figure 1.11'!$G$2</c:f>
              <c:strCache>
                <c:ptCount val="1"/>
                <c:pt idx="0">
                  <c:v>Real GDP</c:v>
                </c:pt>
              </c:strCache>
            </c:strRef>
          </c:tx>
          <c:spPr>
            <a:solidFill>
              <a:srgbClr val="70AD47"/>
            </a:solidFill>
            <a:ln w="25400">
              <a:noFill/>
            </a:ln>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1.11'!$G$3:$G$12</c:f>
              <c:numCache>
                <c:formatCode>0.00</c:formatCode>
                <c:ptCount val="10"/>
                <c:pt idx="0">
                  <c:v>-2.0839920043945313</c:v>
                </c:pt>
                <c:pt idx="1">
                  <c:v>-1.3805491924285889</c:v>
                </c:pt>
                <c:pt idx="2">
                  <c:v>-3.2900295257568359</c:v>
                </c:pt>
                <c:pt idx="3">
                  <c:v>-0.86484134197235107</c:v>
                </c:pt>
                <c:pt idx="4">
                  <c:v>-2.8594880104064941</c:v>
                </c:pt>
                <c:pt idx="5">
                  <c:v>-5.4146051406860352</c:v>
                </c:pt>
                <c:pt idx="6">
                  <c:v>-1.7452963590621948</c:v>
                </c:pt>
                <c:pt idx="7">
                  <c:v>-2.5572926998138428</c:v>
                </c:pt>
                <c:pt idx="8">
                  <c:v>-2.2040464878082275</c:v>
                </c:pt>
                <c:pt idx="9">
                  <c:v>-11.206803321838379</c:v>
                </c:pt>
              </c:numCache>
            </c:numRef>
          </c:val>
          <c:extLst>
            <c:ext xmlns:c16="http://schemas.microsoft.com/office/drawing/2014/chart" uri="{C3380CC4-5D6E-409C-BE32-E72D297353CC}">
              <c16:uniqueId val="{00000004-3BE4-4550-86D8-0EB6FF27B8A0}"/>
            </c:ext>
          </c:extLst>
        </c:ser>
        <c:ser>
          <c:idx val="6"/>
          <c:order val="6"/>
          <c:tx>
            <c:strRef>
              <c:f>'Figure 1.11'!$H$2</c:f>
              <c:strCache>
                <c:ptCount val="1"/>
                <c:pt idx="0">
                  <c:v>Nominal exchange rate</c:v>
                </c:pt>
              </c:strCache>
            </c:strRef>
          </c:tx>
          <c:spPr>
            <a:solidFill>
              <a:schemeClr val="accent1">
                <a:lumMod val="60000"/>
              </a:schemeClr>
            </a:solidFill>
            <a:ln>
              <a:noFill/>
            </a:ln>
            <a:effectLst/>
          </c:spPr>
          <c:invertIfNegative val="0"/>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1.11'!$H$3:$H$12</c:f>
              <c:numCache>
                <c:formatCode>0.00</c:formatCode>
                <c:ptCount val="10"/>
                <c:pt idx="0">
                  <c:v>2.3832397535443306E-2</c:v>
                </c:pt>
                <c:pt idx="1">
                  <c:v>0.52721196413040161</c:v>
                </c:pt>
                <c:pt idx="2">
                  <c:v>3.4533987045288086</c:v>
                </c:pt>
                <c:pt idx="3">
                  <c:v>0.12135307490825653</c:v>
                </c:pt>
                <c:pt idx="4">
                  <c:v>0.21320316195487976</c:v>
                </c:pt>
                <c:pt idx="5">
                  <c:v>0.26509460806846619</c:v>
                </c:pt>
                <c:pt idx="6">
                  <c:v>-0.88412994146347046</c:v>
                </c:pt>
                <c:pt idx="7">
                  <c:v>-0.27965599298477173</c:v>
                </c:pt>
                <c:pt idx="8">
                  <c:v>6.4661736488342285</c:v>
                </c:pt>
                <c:pt idx="9">
                  <c:v>0</c:v>
                </c:pt>
              </c:numCache>
            </c:numRef>
          </c:val>
          <c:extLst>
            <c:ext xmlns:c16="http://schemas.microsoft.com/office/drawing/2014/chart" uri="{C3380CC4-5D6E-409C-BE32-E72D297353CC}">
              <c16:uniqueId val="{00000005-3BE4-4550-86D8-0EB6FF27B8A0}"/>
            </c:ext>
          </c:extLst>
        </c:ser>
        <c:dLbls>
          <c:showLegendKey val="0"/>
          <c:showVal val="0"/>
          <c:showCatName val="0"/>
          <c:showSerName val="0"/>
          <c:showPercent val="0"/>
          <c:showBubbleSize val="0"/>
        </c:dLbls>
        <c:gapWidth val="150"/>
        <c:overlap val="100"/>
        <c:axId val="22550815"/>
        <c:axId val="1"/>
      </c:barChart>
      <c:lineChart>
        <c:grouping val="standard"/>
        <c:varyColors val="0"/>
        <c:ser>
          <c:idx val="0"/>
          <c:order val="0"/>
          <c:tx>
            <c:strRef>
              <c:f>'Figure 1.11'!$C$2</c:f>
              <c:strCache>
                <c:ptCount val="1"/>
                <c:pt idx="0">
                  <c:v>Change in debt-to-GDP</c:v>
                </c:pt>
              </c:strCache>
            </c:strRef>
          </c:tx>
          <c:spPr>
            <a:ln w="19050">
              <a:noFill/>
            </a:ln>
          </c:spPr>
          <c:marker>
            <c:symbol val="circle"/>
            <c:size val="7"/>
            <c:spPr>
              <a:solidFill>
                <a:schemeClr val="tx1"/>
              </a:solidFill>
              <a:ln w="9525">
                <a:solidFill>
                  <a:schemeClr val="tx1"/>
                </a:solidFill>
              </a:ln>
              <a:effectLst/>
            </c:spPr>
          </c:marker>
          <c:cat>
            <c:strRef>
              <c:f>'Figure 1.11'!$B$3:$B$12</c:f>
              <c:strCache>
                <c:ptCount val="10"/>
                <c:pt idx="0">
                  <c:v>CHN</c:v>
                </c:pt>
                <c:pt idx="1">
                  <c:v>ZAF</c:v>
                </c:pt>
                <c:pt idx="2">
                  <c:v>SEN</c:v>
                </c:pt>
                <c:pt idx="3">
                  <c:v>CHL</c:v>
                </c:pt>
                <c:pt idx="4">
                  <c:v>FRA</c:v>
                </c:pt>
                <c:pt idx="5">
                  <c:v>IND</c:v>
                </c:pt>
                <c:pt idx="6">
                  <c:v>MEX</c:v>
                </c:pt>
                <c:pt idx="7">
                  <c:v>BRA</c:v>
                </c:pt>
                <c:pt idx="8">
                  <c:v>TUR</c:v>
                </c:pt>
                <c:pt idx="9">
                  <c:v>GRC</c:v>
                </c:pt>
              </c:strCache>
            </c:strRef>
          </c:cat>
          <c:val>
            <c:numRef>
              <c:f>'Figure 1.11'!$C$3:$C$12</c:f>
              <c:numCache>
                <c:formatCode>0.00</c:formatCode>
                <c:ptCount val="10"/>
                <c:pt idx="0">
                  <c:v>5.2611312866210938</c:v>
                </c:pt>
                <c:pt idx="1">
                  <c:v>2.037322998046875</c:v>
                </c:pt>
                <c:pt idx="2">
                  <c:v>1.8129348754882813</c:v>
                </c:pt>
                <c:pt idx="3">
                  <c:v>1.6735343933105469</c:v>
                </c:pt>
                <c:pt idx="4">
                  <c:v>-1.5141525268554688</c:v>
                </c:pt>
                <c:pt idx="5">
                  <c:v>-1.5580596923828125</c:v>
                </c:pt>
                <c:pt idx="6">
                  <c:v>-2.6434173583984375</c:v>
                </c:pt>
                <c:pt idx="7">
                  <c:v>-4.8158798217773438</c:v>
                </c:pt>
                <c:pt idx="8">
                  <c:v>-10.625324249267578</c:v>
                </c:pt>
                <c:pt idx="9">
                  <c:v>-23.278182983398438</c:v>
                </c:pt>
              </c:numCache>
            </c:numRef>
          </c:val>
          <c:smooth val="0"/>
          <c:extLst>
            <c:ext xmlns:c16="http://schemas.microsoft.com/office/drawing/2014/chart" uri="{C3380CC4-5D6E-409C-BE32-E72D297353CC}">
              <c16:uniqueId val="{00000006-3BE4-4550-86D8-0EB6FF27B8A0}"/>
            </c:ext>
          </c:extLst>
        </c:ser>
        <c:dLbls>
          <c:showLegendKey val="0"/>
          <c:showVal val="0"/>
          <c:showCatName val="0"/>
          <c:showSerName val="0"/>
          <c:showPercent val="0"/>
          <c:showBubbleSize val="0"/>
        </c:dLbls>
        <c:marker val="1"/>
        <c:smooth val="0"/>
        <c:axId val="22550815"/>
        <c:axId val="1"/>
      </c:lineChart>
      <c:catAx>
        <c:axId val="22550815"/>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HelveticaNeueLT Std" panose="020B0604020202020204"/>
                <a:ea typeface="+mn-ea"/>
                <a:cs typeface="+mn-cs"/>
              </a:defRPr>
            </a:pPr>
            <a:endParaRPr lang="en-US"/>
          </a:p>
        </c:txPr>
        <c:crossAx val="1"/>
        <c:crosses val="autoZero"/>
        <c:auto val="1"/>
        <c:lblAlgn val="ctr"/>
        <c:lblOffset val="100"/>
        <c:noMultiLvlLbl val="0"/>
      </c:catAx>
      <c:valAx>
        <c:axId val="1"/>
        <c:scaling>
          <c:orientation val="minMax"/>
          <c:max val="30"/>
          <c:min val="-3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HelveticaNeueLT Std" panose="020B0604020202020204"/>
                <a:ea typeface="+mn-ea"/>
                <a:cs typeface="+mn-cs"/>
              </a:defRPr>
            </a:pPr>
            <a:endParaRPr lang="en-US"/>
          </a:p>
        </c:txPr>
        <c:crossAx val="22550815"/>
        <c:crosses val="autoZero"/>
        <c:crossBetween val="between"/>
      </c:valAx>
      <c:spPr>
        <a:noFill/>
        <a:ln w="25400">
          <a:noFill/>
        </a:ln>
      </c:spPr>
    </c:plotArea>
    <c:legend>
      <c:legendPos val="b"/>
      <c:layout>
        <c:manualLayout>
          <c:xMode val="edge"/>
          <c:yMode val="edge"/>
          <c:x val="0.10660778103844031"/>
          <c:y val="4.210807395973766E-2"/>
          <c:w val="0.85331899933172561"/>
          <c:h val="0.18526562591586726"/>
        </c:manualLayout>
      </c:layout>
      <c:overlay val="0"/>
      <c:spPr>
        <a:noFill/>
        <a:ln w="25400">
          <a:noFill/>
        </a:ln>
      </c:spPr>
      <c:txPr>
        <a:bodyPr rot="0" spcFirstLastPara="1" vertOverflow="ellipsis" vert="horz" wrap="square" anchor="ctr" anchorCtr="1"/>
        <a:lstStyle/>
        <a:p>
          <a:pPr>
            <a:defRPr sz="13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6350">
      <a:noFill/>
    </a:ln>
  </c:spPr>
  <c:txPr>
    <a:bodyPr/>
    <a:lstStyle/>
    <a:p>
      <a:pPr>
        <a:defRPr sz="13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5702609039601"/>
          <c:y val="3.7957068837897852E-2"/>
          <c:w val="0.81111915407712198"/>
          <c:h val="0.91974169031979813"/>
        </c:manualLayout>
      </c:layout>
      <c:barChart>
        <c:barDir val="col"/>
        <c:grouping val="clustered"/>
        <c:varyColors val="0"/>
        <c:ser>
          <c:idx val="0"/>
          <c:order val="0"/>
          <c:tx>
            <c:strRef>
              <c:f>'Figure 1.12'!$C$1</c:f>
              <c:strCache>
                <c:ptCount val="1"/>
                <c:pt idx="0">
                  <c:v>Revenue surprise </c:v>
                </c:pt>
              </c:strCache>
            </c:strRef>
          </c:tx>
          <c:spPr>
            <a:solidFill>
              <a:schemeClr val="accent1"/>
            </a:solidFill>
            <a:ln>
              <a:noFill/>
            </a:ln>
            <a:effectLst/>
          </c:spPr>
          <c:invertIfNegative val="0"/>
          <c:cat>
            <c:strRef>
              <c:f>'Figure 1.12'!$B$2:$B$10</c:f>
              <c:strCache>
                <c:ptCount val="9"/>
                <c:pt idx="0">
                  <c:v>FRA</c:v>
                </c:pt>
                <c:pt idx="1">
                  <c:v>AUS</c:v>
                </c:pt>
                <c:pt idx="2">
                  <c:v>ITA</c:v>
                </c:pt>
                <c:pt idx="3">
                  <c:v>KOR</c:v>
                </c:pt>
                <c:pt idx="4">
                  <c:v>GBR</c:v>
                </c:pt>
                <c:pt idx="5">
                  <c:v>CAN</c:v>
                </c:pt>
                <c:pt idx="6">
                  <c:v>USA</c:v>
                </c:pt>
                <c:pt idx="7">
                  <c:v>DEU</c:v>
                </c:pt>
                <c:pt idx="8">
                  <c:v>JPN</c:v>
                </c:pt>
              </c:strCache>
            </c:strRef>
          </c:cat>
          <c:val>
            <c:numRef>
              <c:f>'Figure 1.12'!$C$2:$C$10</c:f>
              <c:numCache>
                <c:formatCode>0.00</c:formatCode>
                <c:ptCount val="9"/>
                <c:pt idx="0">
                  <c:v>3.2739307880401611</c:v>
                </c:pt>
                <c:pt idx="1">
                  <c:v>3.2674150466918945</c:v>
                </c:pt>
                <c:pt idx="2">
                  <c:v>2.8190662860870361</c:v>
                </c:pt>
                <c:pt idx="3">
                  <c:v>2.22442626953125</c:v>
                </c:pt>
                <c:pt idx="4">
                  <c:v>1.9455375671386719</c:v>
                </c:pt>
                <c:pt idx="5">
                  <c:v>1.8142446279525757</c:v>
                </c:pt>
                <c:pt idx="6">
                  <c:v>1.6440194845199585</c:v>
                </c:pt>
                <c:pt idx="7">
                  <c:v>1.5335482358932495</c:v>
                </c:pt>
                <c:pt idx="8">
                  <c:v>0.89212912321090698</c:v>
                </c:pt>
              </c:numCache>
            </c:numRef>
          </c:val>
          <c:extLst>
            <c:ext xmlns:c16="http://schemas.microsoft.com/office/drawing/2014/chart" uri="{C3380CC4-5D6E-409C-BE32-E72D297353CC}">
              <c16:uniqueId val="{00000000-89E8-4D5A-AE9A-E8E50004C9AC}"/>
            </c:ext>
          </c:extLst>
        </c:ser>
        <c:ser>
          <c:idx val="1"/>
          <c:order val="1"/>
          <c:tx>
            <c:strRef>
              <c:f>'Figure 1.12'!$D$1</c:f>
              <c:strCache>
                <c:ptCount val="1"/>
                <c:pt idx="0">
                  <c:v>Expenditure surprise</c:v>
                </c:pt>
              </c:strCache>
            </c:strRef>
          </c:tx>
          <c:spPr>
            <a:solidFill>
              <a:schemeClr val="accent1">
                <a:lumMod val="40000"/>
                <a:lumOff val="60000"/>
              </a:schemeClr>
            </a:solidFill>
            <a:ln>
              <a:noFill/>
            </a:ln>
            <a:effectLst/>
          </c:spPr>
          <c:invertIfNegative val="0"/>
          <c:cat>
            <c:strRef>
              <c:f>'Figure 1.12'!$B$2:$B$10</c:f>
              <c:strCache>
                <c:ptCount val="9"/>
                <c:pt idx="0">
                  <c:v>FRA</c:v>
                </c:pt>
                <c:pt idx="1">
                  <c:v>AUS</c:v>
                </c:pt>
                <c:pt idx="2">
                  <c:v>ITA</c:v>
                </c:pt>
                <c:pt idx="3">
                  <c:v>KOR</c:v>
                </c:pt>
                <c:pt idx="4">
                  <c:v>GBR</c:v>
                </c:pt>
                <c:pt idx="5">
                  <c:v>CAN</c:v>
                </c:pt>
                <c:pt idx="6">
                  <c:v>USA</c:v>
                </c:pt>
                <c:pt idx="7">
                  <c:v>DEU</c:v>
                </c:pt>
                <c:pt idx="8">
                  <c:v>JPN</c:v>
                </c:pt>
              </c:strCache>
            </c:strRef>
          </c:cat>
          <c:val>
            <c:numRef>
              <c:f>'Figure 1.12'!$D$2:$D$10</c:f>
              <c:numCache>
                <c:formatCode>0.00</c:formatCode>
                <c:ptCount val="9"/>
                <c:pt idx="0">
                  <c:v>2.1005141735076904</c:v>
                </c:pt>
                <c:pt idx="1">
                  <c:v>0.5834384560585022</c:v>
                </c:pt>
                <c:pt idx="2">
                  <c:v>4.6258158683776855</c:v>
                </c:pt>
                <c:pt idx="3">
                  <c:v>2.2456369400024414</c:v>
                </c:pt>
                <c:pt idx="4">
                  <c:v>1.6759489774703979</c:v>
                </c:pt>
                <c:pt idx="5">
                  <c:v>-0.65403223037719727</c:v>
                </c:pt>
                <c:pt idx="6">
                  <c:v>1.5640431642532349</c:v>
                </c:pt>
                <c:pt idx="7">
                  <c:v>1.2330772876739502</c:v>
                </c:pt>
                <c:pt idx="8">
                  <c:v>1.4177795648574829</c:v>
                </c:pt>
              </c:numCache>
            </c:numRef>
          </c:val>
          <c:extLst>
            <c:ext xmlns:c16="http://schemas.microsoft.com/office/drawing/2014/chart" uri="{C3380CC4-5D6E-409C-BE32-E72D297353CC}">
              <c16:uniqueId val="{00000001-89E8-4D5A-AE9A-E8E50004C9AC}"/>
            </c:ext>
          </c:extLst>
        </c:ser>
        <c:dLbls>
          <c:showLegendKey val="0"/>
          <c:showVal val="0"/>
          <c:showCatName val="0"/>
          <c:showSerName val="0"/>
          <c:showPercent val="0"/>
          <c:showBubbleSize val="0"/>
        </c:dLbls>
        <c:gapWidth val="219"/>
        <c:overlap val="-27"/>
        <c:axId val="592163216"/>
        <c:axId val="592161552"/>
      </c:barChart>
      <c:lineChart>
        <c:grouping val="stacked"/>
        <c:varyColors val="0"/>
        <c:ser>
          <c:idx val="2"/>
          <c:order val="2"/>
          <c:tx>
            <c:strRef>
              <c:f>'Figure 1.12'!$E$1</c:f>
              <c:strCache>
                <c:ptCount val="1"/>
                <c:pt idx="0">
                  <c:v>2022 inflation (RHS)</c:v>
                </c:pt>
              </c:strCache>
            </c:strRef>
          </c:tx>
          <c:spPr>
            <a:ln w="28575" cap="rnd">
              <a:noFill/>
              <a:round/>
            </a:ln>
            <a:effectLst/>
          </c:spPr>
          <c:marker>
            <c:symbol val="circle"/>
            <c:size val="8"/>
            <c:spPr>
              <a:solidFill>
                <a:schemeClr val="tx1"/>
              </a:solidFill>
              <a:ln w="31750">
                <a:solidFill>
                  <a:schemeClr val="tx1"/>
                </a:solidFill>
              </a:ln>
              <a:effectLst/>
            </c:spPr>
          </c:marker>
          <c:cat>
            <c:strRef>
              <c:f>'Figure 1.12'!$B$2:$B$10</c:f>
              <c:strCache>
                <c:ptCount val="9"/>
                <c:pt idx="0">
                  <c:v>FRA</c:v>
                </c:pt>
                <c:pt idx="1">
                  <c:v>AUS</c:v>
                </c:pt>
                <c:pt idx="2">
                  <c:v>ITA</c:v>
                </c:pt>
                <c:pt idx="3">
                  <c:v>KOR</c:v>
                </c:pt>
                <c:pt idx="4">
                  <c:v>GBR</c:v>
                </c:pt>
                <c:pt idx="5">
                  <c:v>CAN</c:v>
                </c:pt>
                <c:pt idx="6">
                  <c:v>USA</c:v>
                </c:pt>
                <c:pt idx="7">
                  <c:v>DEU</c:v>
                </c:pt>
                <c:pt idx="8">
                  <c:v>JPN</c:v>
                </c:pt>
              </c:strCache>
            </c:strRef>
          </c:cat>
          <c:val>
            <c:numRef>
              <c:f>'Figure 1.12'!$E$2:$E$10</c:f>
              <c:numCache>
                <c:formatCode>0.00</c:formatCode>
                <c:ptCount val="9"/>
                <c:pt idx="0">
                  <c:v>5.9042503792217271</c:v>
                </c:pt>
                <c:pt idx="1">
                  <c:v>6.6150303537785264</c:v>
                </c:pt>
                <c:pt idx="2">
                  <c:v>8.7360152344679811</c:v>
                </c:pt>
                <c:pt idx="3">
                  <c:v>5.0878876079286046</c:v>
                </c:pt>
                <c:pt idx="4">
                  <c:v>9.0667455547039264</c:v>
                </c:pt>
                <c:pt idx="5">
                  <c:v>6.7965164175591228</c:v>
                </c:pt>
                <c:pt idx="6">
                  <c:v>7.9864819690388442</c:v>
                </c:pt>
                <c:pt idx="7">
                  <c:v>8.6658021206798121</c:v>
                </c:pt>
                <c:pt idx="8">
                  <c:v>2.4965648883176748</c:v>
                </c:pt>
              </c:numCache>
            </c:numRef>
          </c:val>
          <c:smooth val="0"/>
          <c:extLst>
            <c:ext xmlns:c16="http://schemas.microsoft.com/office/drawing/2014/chart" uri="{C3380CC4-5D6E-409C-BE32-E72D297353CC}">
              <c16:uniqueId val="{00000002-89E8-4D5A-AE9A-E8E50004C9AC}"/>
            </c:ext>
          </c:extLst>
        </c:ser>
        <c:dLbls>
          <c:showLegendKey val="0"/>
          <c:showVal val="0"/>
          <c:showCatName val="0"/>
          <c:showSerName val="0"/>
          <c:showPercent val="0"/>
          <c:showBubbleSize val="0"/>
        </c:dLbls>
        <c:marker val="1"/>
        <c:smooth val="0"/>
        <c:axId val="1556997440"/>
        <c:axId val="1556995776"/>
      </c:lineChart>
      <c:catAx>
        <c:axId val="5921632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592161552"/>
        <c:crosses val="autoZero"/>
        <c:auto val="1"/>
        <c:lblAlgn val="ctr"/>
        <c:lblOffset val="100"/>
        <c:noMultiLvlLbl val="0"/>
      </c:catAx>
      <c:valAx>
        <c:axId val="592161552"/>
        <c:scaling>
          <c:orientation val="minMax"/>
          <c:min val="-0.5"/>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592163216"/>
        <c:crosses val="autoZero"/>
        <c:crossBetween val="between"/>
        <c:majorUnit val="1"/>
      </c:valAx>
      <c:valAx>
        <c:axId val="1556995776"/>
        <c:scaling>
          <c:orientation val="minMax"/>
          <c:max val="13"/>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1556997440"/>
        <c:crosses val="max"/>
        <c:crossBetween val="between"/>
      </c:valAx>
      <c:catAx>
        <c:axId val="1556997440"/>
        <c:scaling>
          <c:orientation val="minMax"/>
        </c:scaling>
        <c:delete val="1"/>
        <c:axPos val="b"/>
        <c:numFmt formatCode="General" sourceLinked="1"/>
        <c:majorTickMark val="out"/>
        <c:minorTickMark val="none"/>
        <c:tickLblPos val="nextTo"/>
        <c:crossAx val="1556995776"/>
        <c:crosses val="autoZero"/>
        <c:auto val="1"/>
        <c:lblAlgn val="ctr"/>
        <c:lblOffset val="100"/>
        <c:noMultiLvlLbl val="0"/>
      </c:catAx>
      <c:spPr>
        <a:noFill/>
        <a:ln>
          <a:noFill/>
        </a:ln>
        <a:effectLst/>
      </c:spPr>
    </c:plotArea>
    <c:legend>
      <c:legendPos val="b"/>
      <c:layout>
        <c:manualLayout>
          <c:xMode val="edge"/>
          <c:yMode val="edge"/>
          <c:x val="0.28125563449850205"/>
          <c:y val="1.2871223766351915E-2"/>
          <c:w val="0.51520562657525315"/>
          <c:h val="0.13891874068505256"/>
        </c:manualLayout>
      </c:layout>
      <c:overlay val="0"/>
      <c:spPr>
        <a:noFill/>
        <a:ln>
          <a:noFill/>
        </a:ln>
        <a:effectLst/>
      </c:spPr>
      <c:txPr>
        <a:bodyPr rot="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1400" b="0" i="0" u="none" strike="noStrike" kern="1200" baseline="0">
          <a:solidFill>
            <a:sysClr val="windowText" lastClr="000000"/>
          </a:solidFill>
          <a:latin typeface="HelveticaNeueLT Std"/>
          <a:ea typeface="+mn-ea"/>
          <a:cs typeface="+mn-c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26337448559666E-2"/>
          <c:y val="2.3589737986546955E-2"/>
          <c:w val="0.85630796150481192"/>
          <c:h val="0.89780622610034877"/>
        </c:manualLayout>
      </c:layout>
      <c:barChart>
        <c:barDir val="col"/>
        <c:grouping val="clustered"/>
        <c:varyColors val="0"/>
        <c:ser>
          <c:idx val="0"/>
          <c:order val="0"/>
          <c:tx>
            <c:strRef>
              <c:f>'Figure 1.12'!$O$1</c:f>
              <c:strCache>
                <c:ptCount val="1"/>
                <c:pt idx="0">
                  <c:v>Revenue surprise </c:v>
                </c:pt>
              </c:strCache>
            </c:strRef>
          </c:tx>
          <c:spPr>
            <a:solidFill>
              <a:schemeClr val="accent1"/>
            </a:solidFill>
            <a:ln>
              <a:noFill/>
            </a:ln>
            <a:effectLst/>
          </c:spPr>
          <c:invertIfNegative val="0"/>
          <c:cat>
            <c:strRef>
              <c:f>'Figure 1.12'!$N$2:$N$8</c:f>
              <c:strCache>
                <c:ptCount val="7"/>
                <c:pt idx="0">
                  <c:v>BRA</c:v>
                </c:pt>
                <c:pt idx="1">
                  <c:v>SAU</c:v>
                </c:pt>
                <c:pt idx="2">
                  <c:v>IDN</c:v>
                </c:pt>
                <c:pt idx="3">
                  <c:v>MEX</c:v>
                </c:pt>
                <c:pt idx="4">
                  <c:v>ZAF</c:v>
                </c:pt>
                <c:pt idx="5">
                  <c:v>CHN</c:v>
                </c:pt>
                <c:pt idx="6">
                  <c:v>IND</c:v>
                </c:pt>
              </c:strCache>
            </c:strRef>
          </c:cat>
          <c:val>
            <c:numRef>
              <c:f>'Figure 1.12'!$O$2:$O$8</c:f>
              <c:numCache>
                <c:formatCode>0.00</c:formatCode>
                <c:ptCount val="7"/>
                <c:pt idx="0">
                  <c:v>10.38683032989502</c:v>
                </c:pt>
                <c:pt idx="1">
                  <c:v>5.0620384216308594</c:v>
                </c:pt>
                <c:pt idx="2">
                  <c:v>2.8395786285400391</c:v>
                </c:pt>
                <c:pt idx="3">
                  <c:v>2.7543647289276123</c:v>
                </c:pt>
                <c:pt idx="4">
                  <c:v>2.2499127388000488</c:v>
                </c:pt>
                <c:pt idx="5">
                  <c:v>0.87056618928909302</c:v>
                </c:pt>
                <c:pt idx="6">
                  <c:v>0.52127224206924438</c:v>
                </c:pt>
              </c:numCache>
            </c:numRef>
          </c:val>
          <c:extLst>
            <c:ext xmlns:c16="http://schemas.microsoft.com/office/drawing/2014/chart" uri="{C3380CC4-5D6E-409C-BE32-E72D297353CC}">
              <c16:uniqueId val="{00000000-608C-4849-9DDD-E7CBE2951211}"/>
            </c:ext>
          </c:extLst>
        </c:ser>
        <c:ser>
          <c:idx val="1"/>
          <c:order val="1"/>
          <c:tx>
            <c:strRef>
              <c:f>'Figure 1.12'!$P$1</c:f>
              <c:strCache>
                <c:ptCount val="1"/>
                <c:pt idx="0">
                  <c:v>Expenditure surprise</c:v>
                </c:pt>
              </c:strCache>
            </c:strRef>
          </c:tx>
          <c:spPr>
            <a:solidFill>
              <a:schemeClr val="accent1">
                <a:lumMod val="40000"/>
                <a:lumOff val="60000"/>
              </a:schemeClr>
            </a:solidFill>
            <a:ln>
              <a:noFill/>
            </a:ln>
            <a:effectLst/>
          </c:spPr>
          <c:invertIfNegative val="0"/>
          <c:cat>
            <c:strRef>
              <c:f>'Figure 1.12'!$N$2:$N$8</c:f>
              <c:strCache>
                <c:ptCount val="7"/>
                <c:pt idx="0">
                  <c:v>BRA</c:v>
                </c:pt>
                <c:pt idx="1">
                  <c:v>SAU</c:v>
                </c:pt>
                <c:pt idx="2">
                  <c:v>IDN</c:v>
                </c:pt>
                <c:pt idx="3">
                  <c:v>MEX</c:v>
                </c:pt>
                <c:pt idx="4">
                  <c:v>ZAF</c:v>
                </c:pt>
                <c:pt idx="5">
                  <c:v>CHN</c:v>
                </c:pt>
                <c:pt idx="6">
                  <c:v>IND</c:v>
                </c:pt>
              </c:strCache>
            </c:strRef>
          </c:cat>
          <c:val>
            <c:numRef>
              <c:f>'Figure 1.12'!$P$2:$P$8</c:f>
              <c:numCache>
                <c:formatCode>0.00</c:formatCode>
                <c:ptCount val="7"/>
                <c:pt idx="0">
                  <c:v>6.7763710021972656</c:v>
                </c:pt>
                <c:pt idx="1">
                  <c:v>4.2806382179260254</c:v>
                </c:pt>
                <c:pt idx="2">
                  <c:v>2.0088984966278076</c:v>
                </c:pt>
                <c:pt idx="3">
                  <c:v>2.877816915512085</c:v>
                </c:pt>
                <c:pt idx="4">
                  <c:v>-0.34694260358810425</c:v>
                </c:pt>
                <c:pt idx="5">
                  <c:v>0.72862482070922852</c:v>
                </c:pt>
                <c:pt idx="6">
                  <c:v>0.50671517848968506</c:v>
                </c:pt>
              </c:numCache>
            </c:numRef>
          </c:val>
          <c:extLst>
            <c:ext xmlns:c16="http://schemas.microsoft.com/office/drawing/2014/chart" uri="{C3380CC4-5D6E-409C-BE32-E72D297353CC}">
              <c16:uniqueId val="{00000001-608C-4849-9DDD-E7CBE2951211}"/>
            </c:ext>
          </c:extLst>
        </c:ser>
        <c:dLbls>
          <c:showLegendKey val="0"/>
          <c:showVal val="0"/>
          <c:showCatName val="0"/>
          <c:showSerName val="0"/>
          <c:showPercent val="0"/>
          <c:showBubbleSize val="0"/>
        </c:dLbls>
        <c:gapWidth val="219"/>
        <c:overlap val="-27"/>
        <c:axId val="1675003760"/>
        <c:axId val="1674996688"/>
      </c:barChart>
      <c:lineChart>
        <c:grouping val="stacked"/>
        <c:varyColors val="0"/>
        <c:ser>
          <c:idx val="2"/>
          <c:order val="2"/>
          <c:tx>
            <c:strRef>
              <c:f>'Figure 1.12'!$Q$1</c:f>
              <c:strCache>
                <c:ptCount val="1"/>
                <c:pt idx="0">
                  <c:v>2022 inflation (RHS)</c:v>
                </c:pt>
              </c:strCache>
            </c:strRef>
          </c:tx>
          <c:spPr>
            <a:ln w="28575" cap="rnd">
              <a:noFill/>
              <a:round/>
            </a:ln>
            <a:effectLst/>
          </c:spPr>
          <c:marker>
            <c:symbol val="circle"/>
            <c:size val="8"/>
            <c:spPr>
              <a:solidFill>
                <a:schemeClr val="tx1">
                  <a:alpha val="95000"/>
                </a:schemeClr>
              </a:solidFill>
              <a:ln w="28575">
                <a:solidFill>
                  <a:schemeClr val="tx1"/>
                </a:solidFill>
              </a:ln>
              <a:effectLst/>
            </c:spPr>
          </c:marker>
          <c:cat>
            <c:strRef>
              <c:f>'Figure 1.12'!$N$2:$N$8</c:f>
              <c:strCache>
                <c:ptCount val="7"/>
                <c:pt idx="0">
                  <c:v>BRA</c:v>
                </c:pt>
                <c:pt idx="1">
                  <c:v>SAU</c:v>
                </c:pt>
                <c:pt idx="2">
                  <c:v>IDN</c:v>
                </c:pt>
                <c:pt idx="3">
                  <c:v>MEX</c:v>
                </c:pt>
                <c:pt idx="4">
                  <c:v>ZAF</c:v>
                </c:pt>
                <c:pt idx="5">
                  <c:v>CHN</c:v>
                </c:pt>
                <c:pt idx="6">
                  <c:v>IND</c:v>
                </c:pt>
              </c:strCache>
            </c:strRef>
          </c:cat>
          <c:val>
            <c:numRef>
              <c:f>'Figure 1.12'!$Q$2:$Q$8</c:f>
              <c:numCache>
                <c:formatCode>0.00</c:formatCode>
                <c:ptCount val="7"/>
                <c:pt idx="0">
                  <c:v>9.2799363723163513</c:v>
                </c:pt>
                <c:pt idx="1">
                  <c:v>2.4740737192537163</c:v>
                </c:pt>
                <c:pt idx="2">
                  <c:v>4.2094560244026695</c:v>
                </c:pt>
                <c:pt idx="3">
                  <c:v>7.8986031749479269</c:v>
                </c:pt>
                <c:pt idx="4">
                  <c:v>6.868859461768781</c:v>
                </c:pt>
                <c:pt idx="5">
                  <c:v>1.8756920229381098</c:v>
                </c:pt>
                <c:pt idx="6">
                  <c:v>6.6725219405401255</c:v>
                </c:pt>
              </c:numCache>
            </c:numRef>
          </c:val>
          <c:smooth val="0"/>
          <c:extLst>
            <c:ext xmlns:c16="http://schemas.microsoft.com/office/drawing/2014/chart" uri="{C3380CC4-5D6E-409C-BE32-E72D297353CC}">
              <c16:uniqueId val="{00000002-608C-4849-9DDD-E7CBE2951211}"/>
            </c:ext>
          </c:extLst>
        </c:ser>
        <c:dLbls>
          <c:showLegendKey val="0"/>
          <c:showVal val="0"/>
          <c:showCatName val="0"/>
          <c:showSerName val="0"/>
          <c:showPercent val="0"/>
          <c:showBubbleSize val="0"/>
        </c:dLbls>
        <c:marker val="1"/>
        <c:smooth val="0"/>
        <c:axId val="1570238512"/>
        <c:axId val="1557001184"/>
      </c:lineChart>
      <c:catAx>
        <c:axId val="1675003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1674996688"/>
        <c:crosses val="autoZero"/>
        <c:auto val="1"/>
        <c:lblAlgn val="ctr"/>
        <c:lblOffset val="100"/>
        <c:noMultiLvlLbl val="0"/>
      </c:catAx>
      <c:valAx>
        <c:axId val="1674996688"/>
        <c:scaling>
          <c:orientation val="minMax"/>
          <c:min val="-1"/>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1675003760"/>
        <c:crosses val="autoZero"/>
        <c:crossBetween val="between"/>
      </c:valAx>
      <c:valAx>
        <c:axId val="1557001184"/>
        <c:scaling>
          <c:orientation val="minMax"/>
          <c:max val="13"/>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crossAx val="1570238512"/>
        <c:crosses val="max"/>
        <c:crossBetween val="between"/>
      </c:valAx>
      <c:catAx>
        <c:axId val="1570238512"/>
        <c:scaling>
          <c:orientation val="minMax"/>
        </c:scaling>
        <c:delete val="1"/>
        <c:axPos val="b"/>
        <c:numFmt formatCode="General" sourceLinked="1"/>
        <c:majorTickMark val="out"/>
        <c:minorTickMark val="none"/>
        <c:tickLblPos val="nextTo"/>
        <c:crossAx val="1557001184"/>
        <c:crosses val="autoZero"/>
        <c:auto val="1"/>
        <c:lblAlgn val="ctr"/>
        <c:lblOffset val="100"/>
        <c:noMultiLvlLbl val="0"/>
      </c:catAx>
      <c:spPr>
        <a:noFill/>
        <a:ln>
          <a:noFill/>
        </a:ln>
        <a:effectLst/>
      </c:spPr>
    </c:plotArea>
    <c:legend>
      <c:legendPos val="b"/>
      <c:layout>
        <c:manualLayout>
          <c:xMode val="edge"/>
          <c:yMode val="edge"/>
          <c:x val="0.12933568489124045"/>
          <c:y val="1.9138723022595148E-2"/>
          <c:w val="0.64961787184009401"/>
          <c:h val="0.23277061588422643"/>
        </c:manualLayout>
      </c:layout>
      <c:overlay val="0"/>
      <c:spPr>
        <a:noFill/>
        <a:ln>
          <a:noFill/>
        </a:ln>
        <a:effectLst/>
      </c:spPr>
      <c:txPr>
        <a:bodyPr rot="0" spcFirstLastPara="1" vertOverflow="ellipsis" vert="horz" wrap="square" anchor="ctr" anchorCtr="1"/>
        <a:lstStyle/>
        <a:p>
          <a:pPr>
            <a:defRPr lang="en-US"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1400" b="0" i="0" u="none" strike="noStrike" kern="1200" baseline="0">
          <a:solidFill>
            <a:sysClr val="windowText" lastClr="000000"/>
          </a:solidFill>
          <a:latin typeface="HelveticaNeueLT Std"/>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25684817566816E-2"/>
          <c:y val="7.5933633295838021E-2"/>
          <c:w val="0.88984902912855424"/>
          <c:h val="0.83471760108933735"/>
        </c:manualLayout>
      </c:layout>
      <c:barChart>
        <c:barDir val="col"/>
        <c:grouping val="clustered"/>
        <c:varyColors val="0"/>
        <c:ser>
          <c:idx val="0"/>
          <c:order val="1"/>
          <c:tx>
            <c:strRef>
              <c:f>'Figure 1.2'!$A$3</c:f>
              <c:strCache>
                <c:ptCount val="1"/>
                <c:pt idx="0">
                  <c:v>Advanced Economies</c:v>
                </c:pt>
              </c:strCache>
            </c:strRef>
          </c:tx>
          <c:spPr>
            <a:solidFill>
              <a:srgbClr val="C00000"/>
            </a:solidFill>
            <a:ln>
              <a:noFill/>
            </a:ln>
            <a:effectLst/>
          </c:spPr>
          <c:invertIfNegative val="0"/>
          <c:cat>
            <c:numRef>
              <c:f>'Figure 1.2'!$B$1:$G$1</c:f>
              <c:numCache>
                <c:formatCode>General</c:formatCode>
                <c:ptCount val="6"/>
                <c:pt idx="0">
                  <c:v>2019</c:v>
                </c:pt>
                <c:pt idx="1">
                  <c:v>20</c:v>
                </c:pt>
                <c:pt idx="2">
                  <c:v>21</c:v>
                </c:pt>
                <c:pt idx="3">
                  <c:v>22</c:v>
                </c:pt>
                <c:pt idx="4">
                  <c:v>23</c:v>
                </c:pt>
                <c:pt idx="5">
                  <c:v>24</c:v>
                </c:pt>
              </c:numCache>
            </c:numRef>
          </c:cat>
          <c:val>
            <c:numRef>
              <c:f>'Figure 1.2'!$B$3:$G$3</c:f>
              <c:numCache>
                <c:formatCode>_(* #,##0.0_);_(* \(#,##0.0\);_(* "-"??_);_(@_)</c:formatCode>
                <c:ptCount val="6"/>
                <c:pt idx="0">
                  <c:v>1.742678817409677</c:v>
                </c:pt>
                <c:pt idx="1">
                  <c:v>-4.2122216759589959</c:v>
                </c:pt>
                <c:pt idx="2">
                  <c:v>5.4364123819534527</c:v>
                </c:pt>
                <c:pt idx="3">
                  <c:v>2.661216586573703</c:v>
                </c:pt>
                <c:pt idx="4">
                  <c:v>1.2599074928605436</c:v>
                </c:pt>
                <c:pt idx="5">
                  <c:v>1.3517477845161541</c:v>
                </c:pt>
              </c:numCache>
            </c:numRef>
          </c:val>
          <c:extLst>
            <c:ext xmlns:c16="http://schemas.microsoft.com/office/drawing/2014/chart" uri="{C3380CC4-5D6E-409C-BE32-E72D297353CC}">
              <c16:uniqueId val="{00000000-06E0-42E4-81E3-822153E9C5E6}"/>
            </c:ext>
          </c:extLst>
        </c:ser>
        <c:ser>
          <c:idx val="2"/>
          <c:order val="2"/>
          <c:tx>
            <c:strRef>
              <c:f>'Figure 1.2'!$A$4</c:f>
              <c:strCache>
                <c:ptCount val="1"/>
                <c:pt idx="0">
                  <c:v>Emerging Market Economies</c:v>
                </c:pt>
              </c:strCache>
            </c:strRef>
          </c:tx>
          <c:spPr>
            <a:solidFill>
              <a:srgbClr val="0070C0"/>
            </a:solidFill>
            <a:ln>
              <a:noFill/>
            </a:ln>
            <a:effectLst/>
          </c:spPr>
          <c:invertIfNegative val="0"/>
          <c:cat>
            <c:numRef>
              <c:f>'Figure 1.2'!$B$1:$G$1</c:f>
              <c:numCache>
                <c:formatCode>General</c:formatCode>
                <c:ptCount val="6"/>
                <c:pt idx="0">
                  <c:v>2019</c:v>
                </c:pt>
                <c:pt idx="1">
                  <c:v>20</c:v>
                </c:pt>
                <c:pt idx="2">
                  <c:v>21</c:v>
                </c:pt>
                <c:pt idx="3">
                  <c:v>22</c:v>
                </c:pt>
                <c:pt idx="4">
                  <c:v>23</c:v>
                </c:pt>
                <c:pt idx="5">
                  <c:v>24</c:v>
                </c:pt>
              </c:numCache>
            </c:numRef>
          </c:cat>
          <c:val>
            <c:numRef>
              <c:f>'Figure 1.2'!$B$4:$G$4</c:f>
              <c:numCache>
                <c:formatCode>_(* #,##0.0_);_(* \(#,##0.0\);_(* "-"??_);_(@_)</c:formatCode>
                <c:ptCount val="6"/>
                <c:pt idx="0">
                  <c:v>3.4842968144524931</c:v>
                </c:pt>
                <c:pt idx="1">
                  <c:v>-2.0465926967558881</c:v>
                </c:pt>
                <c:pt idx="2">
                  <c:v>7.1313617994172702</c:v>
                </c:pt>
                <c:pt idx="3">
                  <c:v>3.8612155350244217</c:v>
                </c:pt>
                <c:pt idx="4">
                  <c:v>3.854243861878528</c:v>
                </c:pt>
                <c:pt idx="5">
                  <c:v>4.0385302468589988</c:v>
                </c:pt>
              </c:numCache>
            </c:numRef>
          </c:val>
          <c:extLst>
            <c:ext xmlns:c16="http://schemas.microsoft.com/office/drawing/2014/chart" uri="{C3380CC4-5D6E-409C-BE32-E72D297353CC}">
              <c16:uniqueId val="{00000001-06E0-42E4-81E3-822153E9C5E6}"/>
            </c:ext>
          </c:extLst>
        </c:ser>
        <c:dLbls>
          <c:showLegendKey val="0"/>
          <c:showVal val="0"/>
          <c:showCatName val="0"/>
          <c:showSerName val="0"/>
          <c:showPercent val="0"/>
          <c:showBubbleSize val="0"/>
        </c:dLbls>
        <c:gapWidth val="219"/>
        <c:overlap val="-27"/>
        <c:axId val="496762687"/>
        <c:axId val="496766015"/>
      </c:barChart>
      <c:lineChart>
        <c:grouping val="standard"/>
        <c:varyColors val="0"/>
        <c:ser>
          <c:idx val="3"/>
          <c:order val="0"/>
          <c:tx>
            <c:strRef>
              <c:f>'Figure 1.2'!$A$2</c:f>
              <c:strCache>
                <c:ptCount val="1"/>
                <c:pt idx="0">
                  <c:v>Global</c:v>
                </c:pt>
              </c:strCache>
            </c:strRef>
          </c:tx>
          <c:spPr>
            <a:ln w="28575" cap="rnd">
              <a:solidFill>
                <a:srgbClr val="7030A0"/>
              </a:solidFill>
              <a:prstDash val="solid"/>
              <a:round/>
            </a:ln>
            <a:effectLst/>
          </c:spPr>
          <c:marker>
            <c:symbol val="none"/>
          </c:marker>
          <c:val>
            <c:numRef>
              <c:f>'Figure 1.2'!$B$2:$G$2</c:f>
              <c:numCache>
                <c:formatCode>_(* #,##0.0_);_(* \(#,##0.0\);_(* "-"??_);_(@_)</c:formatCode>
                <c:ptCount val="6"/>
                <c:pt idx="0">
                  <c:v>2.8099227534706643</c:v>
                </c:pt>
                <c:pt idx="1">
                  <c:v>-2.8049867203720797</c:v>
                </c:pt>
                <c:pt idx="2">
                  <c:v>6.2745933922529726</c:v>
                </c:pt>
                <c:pt idx="3">
                  <c:v>3.4158962441226466</c:v>
                </c:pt>
                <c:pt idx="4">
                  <c:v>2.8307923101191421</c:v>
                </c:pt>
                <c:pt idx="5">
                  <c:v>3.022538583773787</c:v>
                </c:pt>
              </c:numCache>
            </c:numRef>
          </c:val>
          <c:smooth val="0"/>
          <c:extLst>
            <c:ext xmlns:c16="http://schemas.microsoft.com/office/drawing/2014/chart" uri="{C3380CC4-5D6E-409C-BE32-E72D297353CC}">
              <c16:uniqueId val="{00000002-06E0-42E4-81E3-822153E9C5E6}"/>
            </c:ext>
          </c:extLst>
        </c:ser>
        <c:dLbls>
          <c:showLegendKey val="0"/>
          <c:showVal val="0"/>
          <c:showCatName val="0"/>
          <c:showSerName val="0"/>
          <c:showPercent val="0"/>
          <c:showBubbleSize val="0"/>
        </c:dLbls>
        <c:marker val="1"/>
        <c:smooth val="0"/>
        <c:axId val="496762687"/>
        <c:axId val="496766015"/>
      </c:lineChart>
      <c:catAx>
        <c:axId val="49676268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496766015"/>
        <c:crosses val="autoZero"/>
        <c:auto val="1"/>
        <c:lblAlgn val="ctr"/>
        <c:lblOffset val="100"/>
        <c:noMultiLvlLbl val="0"/>
      </c:catAx>
      <c:valAx>
        <c:axId val="496766015"/>
        <c:scaling>
          <c:orientation val="minMax"/>
          <c:max val="10"/>
          <c:min val="-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496762687"/>
        <c:crosses val="autoZero"/>
        <c:crossBetween val="between"/>
        <c:majorUnit val="5"/>
      </c:valAx>
      <c:spPr>
        <a:noFill/>
        <a:ln>
          <a:noFill/>
        </a:ln>
        <a:effectLst/>
      </c:spPr>
    </c:plotArea>
    <c:legend>
      <c:legendPos val="b"/>
      <c:layout>
        <c:manualLayout>
          <c:xMode val="edge"/>
          <c:yMode val="edge"/>
          <c:x val="0.14546120956530878"/>
          <c:y val="7.189805221715706E-2"/>
          <c:w val="0.77128691496662072"/>
          <c:h val="0.16020536649518938"/>
        </c:manualLayout>
      </c:layout>
      <c:overlay val="0"/>
      <c:spPr>
        <a:noFill/>
        <a:ln>
          <a:noFill/>
        </a:ln>
        <a:effectLst/>
      </c:spPr>
      <c:txPr>
        <a:bodyPr rot="0" spcFirstLastPara="1" vertOverflow="ellipsis" vert="horz" wrap="square" anchor="ctr" anchorCtr="1"/>
        <a:lstStyle/>
        <a:p>
          <a:pPr algn="ctr">
            <a:defRPr lang="en-US" sz="14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400" b="0" i="0" u="none" strike="noStrike" kern="1200" baseline="0">
          <a:solidFill>
            <a:sysClr val="windowText" lastClr="000000"/>
          </a:solidFill>
          <a:latin typeface="HelveticaNeueLT Std" panose="020B0604020202020204" pitchFamily="34" charset="0"/>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32392587182123E-2"/>
          <c:y val="8.6292893000025475E-2"/>
          <c:w val="0.89977062082171133"/>
          <c:h val="0.77372698315623178"/>
        </c:manualLayout>
      </c:layout>
      <c:barChart>
        <c:barDir val="col"/>
        <c:grouping val="clustered"/>
        <c:varyColors val="0"/>
        <c:ser>
          <c:idx val="0"/>
          <c:order val="0"/>
          <c:tx>
            <c:strRef>
              <c:f>'Figure 1.13'!$C$1</c:f>
              <c:strCache>
                <c:ptCount val="1"/>
                <c:pt idx="0">
                  <c:v>Social benefits</c:v>
                </c:pt>
              </c:strCache>
            </c:strRef>
          </c:tx>
          <c:spPr>
            <a:solidFill>
              <a:schemeClr val="accent1"/>
            </a:solidFill>
            <a:ln>
              <a:noFill/>
            </a:ln>
            <a:effectLst/>
          </c:spPr>
          <c:invertIfNegative val="0"/>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1.13'!$C$2:$C$10</c15:sqref>
                  </c15:fullRef>
                </c:ext>
              </c:extLst>
              <c:f>'Figure 1.13'!$C$2:$C$9</c:f>
              <c:numCache>
                <c:formatCode>0.000</c:formatCode>
                <c:ptCount val="8"/>
                <c:pt idx="0">
                  <c:v>-0.55962657928466797</c:v>
                </c:pt>
                <c:pt idx="1">
                  <c:v>-0.34790897369384766</c:v>
                </c:pt>
                <c:pt idx="2">
                  <c:v>-3.4763216972351074E-2</c:v>
                </c:pt>
                <c:pt idx="3">
                  <c:v>-0.97501945495605469</c:v>
                </c:pt>
                <c:pt idx="4">
                  <c:v>-0.11734390258789063</c:v>
                </c:pt>
                <c:pt idx="5">
                  <c:v>-8.2155704498291016E-2</c:v>
                </c:pt>
                <c:pt idx="6">
                  <c:v>-0.33505630493164063</c:v>
                </c:pt>
                <c:pt idx="7">
                  <c:v>1.1723127365112305</c:v>
                </c:pt>
              </c:numCache>
            </c:numRef>
          </c:val>
          <c:extLst>
            <c:ext xmlns:c16="http://schemas.microsoft.com/office/drawing/2014/chart" uri="{C3380CC4-5D6E-409C-BE32-E72D297353CC}">
              <c16:uniqueId val="{00000000-19C9-4B93-9D37-56504835C6BE}"/>
            </c:ext>
          </c:extLst>
        </c:ser>
        <c:ser>
          <c:idx val="1"/>
          <c:order val="1"/>
          <c:tx>
            <c:strRef>
              <c:f>'Figure 1.13'!$D$1</c:f>
              <c:strCache>
                <c:ptCount val="1"/>
                <c:pt idx="0">
                  <c:v>Compensation of employees</c:v>
                </c:pt>
              </c:strCache>
            </c:strRef>
          </c:tx>
          <c:spPr>
            <a:solidFill>
              <a:srgbClr val="C00000"/>
            </a:solidFill>
            <a:ln>
              <a:noFill/>
            </a:ln>
            <a:effectLst/>
          </c:spPr>
          <c:invertIfNegative val="0"/>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1.13'!$D$2:$D$10</c15:sqref>
                  </c15:fullRef>
                </c:ext>
              </c:extLst>
              <c:f>'Figure 1.13'!$D$2:$D$9</c:f>
              <c:numCache>
                <c:formatCode>0.000</c:formatCode>
                <c:ptCount val="8"/>
                <c:pt idx="0">
                  <c:v>-0.27198982238769531</c:v>
                </c:pt>
                <c:pt idx="1">
                  <c:v>-0.57533550262451172</c:v>
                </c:pt>
                <c:pt idx="2">
                  <c:v>-1.9646530151367188</c:v>
                </c:pt>
                <c:pt idx="3">
                  <c:v>-0.19310903549194336</c:v>
                </c:pt>
                <c:pt idx="4">
                  <c:v>0.17277622222900391</c:v>
                </c:pt>
                <c:pt idx="5">
                  <c:v>-0.1460883617401123</c:v>
                </c:pt>
                <c:pt idx="6">
                  <c:v>-1.8509864807128906E-2</c:v>
                </c:pt>
                <c:pt idx="7">
                  <c:v>0.38357853889465332</c:v>
                </c:pt>
              </c:numCache>
            </c:numRef>
          </c:val>
          <c:extLst>
            <c:ext xmlns:c16="http://schemas.microsoft.com/office/drawing/2014/chart" uri="{C3380CC4-5D6E-409C-BE32-E72D297353CC}">
              <c16:uniqueId val="{00000001-19C9-4B93-9D37-56504835C6BE}"/>
            </c:ext>
          </c:extLst>
        </c:ser>
        <c:ser>
          <c:idx val="2"/>
          <c:order val="2"/>
          <c:tx>
            <c:strRef>
              <c:f>'Figure 1.13'!$E$1</c:f>
              <c:strCache>
                <c:ptCount val="1"/>
                <c:pt idx="0">
                  <c:v>Goods and services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1.13'!$E$2:$E$10</c15:sqref>
                  </c15:fullRef>
                </c:ext>
              </c:extLst>
              <c:f>'Figure 1.13'!$E$2:$E$9</c:f>
              <c:numCache>
                <c:formatCode>0.000</c:formatCode>
                <c:ptCount val="8"/>
                <c:pt idx="0">
                  <c:v>-0.47789955139160156</c:v>
                </c:pt>
                <c:pt idx="1">
                  <c:v>-0.59159421920776367</c:v>
                </c:pt>
                <c:pt idx="2">
                  <c:v>1.1180171966552734</c:v>
                </c:pt>
                <c:pt idx="3">
                  <c:v>-4.2417049407958984E-2</c:v>
                </c:pt>
                <c:pt idx="4">
                  <c:v>0.16678667068481445</c:v>
                </c:pt>
                <c:pt idx="5">
                  <c:v>0.54237222671508789</c:v>
                </c:pt>
                <c:pt idx="6">
                  <c:v>0.23071908950805664</c:v>
                </c:pt>
                <c:pt idx="7">
                  <c:v>0.29720950126647949</c:v>
                </c:pt>
              </c:numCache>
            </c:numRef>
          </c:val>
          <c:extLst>
            <c:ext xmlns:c16="http://schemas.microsoft.com/office/drawing/2014/chart" uri="{C3380CC4-5D6E-409C-BE32-E72D297353CC}">
              <c16:uniqueId val="{00000002-19C9-4B93-9D37-56504835C6BE}"/>
            </c:ext>
          </c:extLst>
        </c:ser>
        <c:ser>
          <c:idx val="3"/>
          <c:order val="3"/>
          <c:tx>
            <c:strRef>
              <c:f>'Figure 1.13'!$F$1</c:f>
              <c:strCache>
                <c:ptCount val="1"/>
                <c:pt idx="0">
                  <c:v>Not elsewhere specified</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1.13'!$F$2:$F$10</c15:sqref>
                  </c15:fullRef>
                </c:ext>
              </c:extLst>
              <c:f>'Figure 1.13'!$F$2:$F$9</c:f>
              <c:numCache>
                <c:formatCode>0.000</c:formatCode>
                <c:ptCount val="8"/>
                <c:pt idx="0">
                  <c:v>-0.69845390319824219</c:v>
                </c:pt>
                <c:pt idx="1">
                  <c:v>-5.985260009765625E-2</c:v>
                </c:pt>
                <c:pt idx="2">
                  <c:v>7.5325489044189453E-2</c:v>
                </c:pt>
                <c:pt idx="3">
                  <c:v>1.8958897590637207</c:v>
                </c:pt>
                <c:pt idx="4">
                  <c:v>0.99080371856689453</c:v>
                </c:pt>
                <c:pt idx="5">
                  <c:v>1.4485645294189453</c:v>
                </c:pt>
                <c:pt idx="6">
                  <c:v>3.6071786880493164</c:v>
                </c:pt>
                <c:pt idx="7">
                  <c:v>1.7366771697998047</c:v>
                </c:pt>
              </c:numCache>
            </c:numRef>
          </c:val>
          <c:extLst>
            <c:ext xmlns:c16="http://schemas.microsoft.com/office/drawing/2014/chart" uri="{C3380CC4-5D6E-409C-BE32-E72D297353CC}">
              <c16:uniqueId val="{00000003-19C9-4B93-9D37-56504835C6BE}"/>
            </c:ext>
          </c:extLst>
        </c:ser>
        <c:dLbls>
          <c:showLegendKey val="0"/>
          <c:showVal val="0"/>
          <c:showCatName val="0"/>
          <c:showSerName val="0"/>
          <c:showPercent val="0"/>
          <c:showBubbleSize val="0"/>
        </c:dLbls>
        <c:gapWidth val="50"/>
        <c:axId val="826089823"/>
        <c:axId val="826095231"/>
      </c:barChart>
      <c:lineChart>
        <c:grouping val="standard"/>
        <c:varyColors val="0"/>
        <c:ser>
          <c:idx val="4"/>
          <c:order val="4"/>
          <c:tx>
            <c:strRef>
              <c:f>'Figure 1.13'!$G$1</c:f>
              <c:strCache>
                <c:ptCount val="1"/>
                <c:pt idx="0">
                  <c:v>Overall non-interest expenses</c:v>
                </c:pt>
              </c:strCache>
            </c:strRef>
          </c:tx>
          <c:spPr>
            <a:ln w="28575" cap="rnd">
              <a:noFill/>
              <a:round/>
            </a:ln>
            <a:effectLst/>
          </c:spPr>
          <c:marker>
            <c:symbol val="circle"/>
            <c:size val="12"/>
            <c:spPr>
              <a:solidFill>
                <a:schemeClr val="accent2"/>
              </a:solidFill>
              <a:ln w="31750">
                <a:solidFill>
                  <a:schemeClr val="accent2"/>
                </a:solidFill>
              </a:ln>
              <a:effectLst/>
            </c:spPr>
          </c:marker>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1.13'!$G$2:$G$10</c15:sqref>
                  </c15:fullRef>
                </c:ext>
              </c:extLst>
              <c:f>'Figure 1.13'!$G$2:$G$9</c:f>
              <c:numCache>
                <c:formatCode>0.000</c:formatCode>
                <c:ptCount val="8"/>
                <c:pt idx="0">
                  <c:v>-2.007969856262207</c:v>
                </c:pt>
                <c:pt idx="1">
                  <c:v>-1.5746912956237793</c:v>
                </c:pt>
                <c:pt idx="2">
                  <c:v>-0.80607354640960693</c:v>
                </c:pt>
                <c:pt idx="3">
                  <c:v>0.68534421920776367</c:v>
                </c:pt>
                <c:pt idx="4">
                  <c:v>1.2130227088928223</c:v>
                </c:pt>
                <c:pt idx="5">
                  <c:v>1.7626926898956299</c:v>
                </c:pt>
                <c:pt idx="6">
                  <c:v>3.4843316078186035</c:v>
                </c:pt>
                <c:pt idx="7">
                  <c:v>3.589777946472168</c:v>
                </c:pt>
              </c:numCache>
            </c:numRef>
          </c:val>
          <c:smooth val="0"/>
          <c:extLst>
            <c:ext xmlns:c16="http://schemas.microsoft.com/office/drawing/2014/chart" uri="{C3380CC4-5D6E-409C-BE32-E72D297353CC}">
              <c16:uniqueId val="{00000004-19C9-4B93-9D37-56504835C6BE}"/>
            </c:ext>
          </c:extLst>
        </c:ser>
        <c:ser>
          <c:idx val="5"/>
          <c:order val="5"/>
          <c:tx>
            <c:v>line</c:v>
          </c:tx>
          <c:spPr>
            <a:ln w="25400" cap="rnd">
              <a:no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'Figure 1.13'!$A$2:$A$10</c15:sqref>
                  </c15:fullRef>
                </c:ext>
              </c:extLst>
              <c:f>'Figure 1.13'!$A$2:$A$9</c:f>
              <c:strCache>
                <c:ptCount val="8"/>
                <c:pt idx="0">
                  <c:v>Australia</c:v>
                </c:pt>
                <c:pt idx="1">
                  <c:v>South Africa</c:v>
                </c:pt>
                <c:pt idx="2">
                  <c:v>Saudi Arabia</c:v>
                </c:pt>
                <c:pt idx="3">
                  <c:v>Germany</c:v>
                </c:pt>
                <c:pt idx="4">
                  <c:v>France</c:v>
                </c:pt>
                <c:pt idx="5">
                  <c:v>Mexico</c:v>
                </c:pt>
                <c:pt idx="6">
                  <c:v>Italy</c:v>
                </c:pt>
                <c:pt idx="7">
                  <c:v>Korea</c:v>
                </c:pt>
              </c:strCache>
            </c:strRef>
          </c:cat>
          <c:val>
            <c:numRef>
              <c:extLst>
                <c:ext xmlns:c15="http://schemas.microsoft.com/office/drawing/2012/chart" uri="{02D57815-91ED-43cb-92C2-25804820EDAC}">
                  <c15:fullRef>
                    <c15:sqref>'Figure 1.13'!$C$12:$C$13</c15:sqref>
                  </c15:fullRef>
                </c:ext>
              </c:extLst>
              <c:f>'Figure 1.13'!$C$12:$C$13</c:f>
              <c:numCache>
                <c:formatCode>General</c:formatCode>
                <c:ptCount val="2"/>
              </c:numCache>
            </c:numRef>
          </c:val>
          <c:smooth val="0"/>
          <c:extLst>
            <c:ext xmlns:c16="http://schemas.microsoft.com/office/drawing/2014/chart" uri="{C3380CC4-5D6E-409C-BE32-E72D297353CC}">
              <c16:uniqueId val="{00000005-19C9-4B93-9D37-56504835C6BE}"/>
            </c:ext>
          </c:extLst>
        </c:ser>
        <c:dLbls>
          <c:showLegendKey val="0"/>
          <c:showVal val="0"/>
          <c:showCatName val="0"/>
          <c:showSerName val="0"/>
          <c:showPercent val="0"/>
          <c:showBubbleSize val="0"/>
        </c:dLbls>
        <c:marker val="1"/>
        <c:smooth val="0"/>
        <c:axId val="826089823"/>
        <c:axId val="826095231"/>
      </c:lineChart>
      <c:catAx>
        <c:axId val="826089823"/>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826095231"/>
        <c:crosses val="autoZero"/>
        <c:auto val="1"/>
        <c:lblAlgn val="ctr"/>
        <c:lblOffset val="100"/>
        <c:tickMarkSkip val="1"/>
        <c:noMultiLvlLbl val="0"/>
      </c:catAx>
      <c:valAx>
        <c:axId val="826095231"/>
        <c:scaling>
          <c:orientation val="minMax"/>
        </c:scaling>
        <c:delete val="0"/>
        <c:axPos val="l"/>
        <c:numFmt formatCode="0" sourceLinked="0"/>
        <c:majorTickMark val="in"/>
        <c:minorTickMark val="none"/>
        <c:tickLblPos val="nextTo"/>
        <c:spPr>
          <a:noFill/>
          <a:ln>
            <a:solidFill>
              <a:schemeClr val="tx1">
                <a:alpha val="97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826089823"/>
        <c:crosses val="autoZero"/>
        <c:crossBetween val="between"/>
      </c:valAx>
      <c:spPr>
        <a:noFill/>
        <a:ln>
          <a:noFill/>
        </a:ln>
        <a:effectLst/>
      </c:spPr>
    </c:plotArea>
    <c:legend>
      <c:legendPos val="b"/>
      <c:legendEntry>
        <c:idx val="5"/>
        <c:delete val="1"/>
      </c:legendEntry>
      <c:layout>
        <c:manualLayout>
          <c:xMode val="edge"/>
          <c:yMode val="edge"/>
          <c:x val="9.6110212917893498E-2"/>
          <c:y val="0.1027798382095217"/>
          <c:w val="0.33818780193321074"/>
          <c:h val="0.2297777000495736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90149174391177E-2"/>
          <c:y val="4.976224372967121E-2"/>
          <c:w val="0.87998784962006327"/>
          <c:h val="0.85090734932475265"/>
        </c:manualLayout>
      </c:layout>
      <c:barChart>
        <c:barDir val="col"/>
        <c:grouping val="clustered"/>
        <c:varyColors val="0"/>
        <c:ser>
          <c:idx val="0"/>
          <c:order val="0"/>
          <c:tx>
            <c:strRef>
              <c:f>'Figure 1.14'!$B$1</c:f>
              <c:strCache>
                <c:ptCount val="1"/>
                <c:pt idx="0">
                  <c:v>Advanced economies</c:v>
                </c:pt>
              </c:strCache>
            </c:strRef>
          </c:tx>
          <c:spPr>
            <a:solidFill>
              <a:schemeClr val="accent1"/>
            </a:solidFill>
            <a:ln>
              <a:noFill/>
            </a:ln>
            <a:effectLst/>
          </c:spPr>
          <c:invertIfNegative val="0"/>
          <c:cat>
            <c:numRef>
              <c:f>'Figure 1.14'!$A$2:$A$4</c:f>
              <c:numCache>
                <c:formatCode>General</c:formatCode>
                <c:ptCount val="3"/>
                <c:pt idx="0">
                  <c:v>2020</c:v>
                </c:pt>
                <c:pt idx="1">
                  <c:v>2021</c:v>
                </c:pt>
                <c:pt idx="2">
                  <c:v>2022</c:v>
                </c:pt>
              </c:numCache>
            </c:numRef>
          </c:cat>
          <c:val>
            <c:numRef>
              <c:f>'Figure 1.14'!$B$2:$B$4</c:f>
              <c:numCache>
                <c:formatCode>General</c:formatCode>
                <c:ptCount val="3"/>
                <c:pt idx="0">
                  <c:v>0.84910599999999992</c:v>
                </c:pt>
                <c:pt idx="1">
                  <c:v>-1.1426035000000001</c:v>
                </c:pt>
                <c:pt idx="2">
                  <c:v>-1.0744081000000001</c:v>
                </c:pt>
              </c:numCache>
            </c:numRef>
          </c:val>
          <c:extLst>
            <c:ext xmlns:c16="http://schemas.microsoft.com/office/drawing/2014/chart" uri="{C3380CC4-5D6E-409C-BE32-E72D297353CC}">
              <c16:uniqueId val="{00000000-E578-408B-95B8-A1841AD67D11}"/>
            </c:ext>
          </c:extLst>
        </c:ser>
        <c:ser>
          <c:idx val="1"/>
          <c:order val="1"/>
          <c:tx>
            <c:strRef>
              <c:f>'Figure 1.14'!$C$1</c:f>
              <c:strCache>
                <c:ptCount val="1"/>
                <c:pt idx="0">
                  <c:v>Emerging market economies</c:v>
                </c:pt>
              </c:strCache>
            </c:strRef>
          </c:tx>
          <c:spPr>
            <a:solidFill>
              <a:srgbClr val="C00000"/>
            </a:solidFill>
            <a:ln>
              <a:noFill/>
            </a:ln>
            <a:effectLst/>
          </c:spPr>
          <c:invertIfNegative val="0"/>
          <c:cat>
            <c:numRef>
              <c:f>'Figure 1.14'!$A$2:$A$4</c:f>
              <c:numCache>
                <c:formatCode>General</c:formatCode>
                <c:ptCount val="3"/>
                <c:pt idx="0">
                  <c:v>2020</c:v>
                </c:pt>
                <c:pt idx="1">
                  <c:v>2021</c:v>
                </c:pt>
                <c:pt idx="2">
                  <c:v>2022</c:v>
                </c:pt>
              </c:numCache>
            </c:numRef>
          </c:cat>
          <c:val>
            <c:numRef>
              <c:f>'Figure 1.14'!$C$2:$C$4</c:f>
              <c:numCache>
                <c:formatCode>General</c:formatCode>
                <c:ptCount val="3"/>
                <c:pt idx="0">
                  <c:v>-1.8195199999999998</c:v>
                </c:pt>
                <c:pt idx="1">
                  <c:v>-6.8613169999999997</c:v>
                </c:pt>
                <c:pt idx="2">
                  <c:v>-0.70119699999999963</c:v>
                </c:pt>
              </c:numCache>
            </c:numRef>
          </c:val>
          <c:extLst>
            <c:ext xmlns:c16="http://schemas.microsoft.com/office/drawing/2014/chart" uri="{C3380CC4-5D6E-409C-BE32-E72D297353CC}">
              <c16:uniqueId val="{00000001-E578-408B-95B8-A1841AD67D11}"/>
            </c:ext>
          </c:extLst>
        </c:ser>
        <c:ser>
          <c:idx val="2"/>
          <c:order val="2"/>
          <c:tx>
            <c:strRef>
              <c:f>'Figure 1.14'!$D$1</c:f>
              <c:strCache>
                <c:ptCount val="1"/>
                <c:pt idx="0">
                  <c:v>Low-income developing countries</c:v>
                </c:pt>
              </c:strCache>
            </c:strRef>
          </c:tx>
          <c:spPr>
            <a:solidFill>
              <a:schemeClr val="accent6">
                <a:lumMod val="75000"/>
              </a:schemeClr>
            </a:solidFill>
            <a:ln>
              <a:noFill/>
            </a:ln>
            <a:effectLst/>
          </c:spPr>
          <c:invertIfNegative val="0"/>
          <c:cat>
            <c:numRef>
              <c:f>'Figure 1.14'!$A$2:$A$4</c:f>
              <c:numCache>
                <c:formatCode>General</c:formatCode>
                <c:ptCount val="3"/>
                <c:pt idx="0">
                  <c:v>2020</c:v>
                </c:pt>
                <c:pt idx="1">
                  <c:v>2021</c:v>
                </c:pt>
                <c:pt idx="2">
                  <c:v>2022</c:v>
                </c:pt>
              </c:numCache>
            </c:numRef>
          </c:cat>
          <c:val>
            <c:numRef>
              <c:f>'Figure 1.14'!$D$2:$D$4</c:f>
              <c:numCache>
                <c:formatCode>General</c:formatCode>
                <c:ptCount val="3"/>
                <c:pt idx="0">
                  <c:v>-1.2093579999999999</c:v>
                </c:pt>
                <c:pt idx="1">
                  <c:v>-3.8846455</c:v>
                </c:pt>
                <c:pt idx="2">
                  <c:v>-3.5756710000000003</c:v>
                </c:pt>
              </c:numCache>
            </c:numRef>
          </c:val>
          <c:extLst>
            <c:ext xmlns:c16="http://schemas.microsoft.com/office/drawing/2014/chart" uri="{C3380CC4-5D6E-409C-BE32-E72D297353CC}">
              <c16:uniqueId val="{00000002-E578-408B-95B8-A1841AD67D11}"/>
            </c:ext>
          </c:extLst>
        </c:ser>
        <c:dLbls>
          <c:showLegendKey val="0"/>
          <c:showVal val="0"/>
          <c:showCatName val="0"/>
          <c:showSerName val="0"/>
          <c:showPercent val="0"/>
          <c:showBubbleSize val="0"/>
        </c:dLbls>
        <c:gapWidth val="219"/>
        <c:overlap val="-27"/>
        <c:axId val="294938287"/>
        <c:axId val="294938703"/>
      </c:barChart>
      <c:catAx>
        <c:axId val="29493828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294938703"/>
        <c:crosses val="autoZero"/>
        <c:auto val="1"/>
        <c:lblAlgn val="ctr"/>
        <c:lblOffset val="100"/>
        <c:noMultiLvlLbl val="0"/>
      </c:catAx>
      <c:valAx>
        <c:axId val="294938703"/>
        <c:scaling>
          <c:orientation val="minMax"/>
          <c:min val="-1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294938287"/>
        <c:crosses val="autoZero"/>
        <c:crossBetween val="between"/>
      </c:valAx>
      <c:spPr>
        <a:noFill/>
        <a:ln>
          <a:noFill/>
        </a:ln>
        <a:effectLst/>
      </c:spPr>
    </c:plotArea>
    <c:legend>
      <c:legendPos val="b"/>
      <c:layout>
        <c:manualLayout>
          <c:xMode val="edge"/>
          <c:yMode val="edge"/>
          <c:x val="0.11816529262956055"/>
          <c:y val="0.70906994783971578"/>
          <c:w val="0.87699050276943236"/>
          <c:h val="0.186126574726499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39373542269224E-2"/>
          <c:y val="4.0689752885433444E-2"/>
          <c:w val="0.86910356658047938"/>
          <c:h val="0.66908880590096653"/>
        </c:manualLayout>
      </c:layout>
      <c:areaChart>
        <c:grouping val="stacked"/>
        <c:varyColors val="0"/>
        <c:ser>
          <c:idx val="5"/>
          <c:order val="3"/>
          <c:tx>
            <c:strRef>
              <c:f>'Figure 1.15'!$E$2</c:f>
              <c:strCache>
                <c:ptCount val="1"/>
                <c:pt idx="0">
                  <c:v>lo_Wggcbp_gdp_p75</c:v>
                </c:pt>
              </c:strCache>
            </c:strRef>
          </c:tx>
          <c:spPr>
            <a:solidFill>
              <a:schemeClr val="bg1">
                <a:alpha val="20000"/>
              </a:schemeClr>
            </a:solidFill>
            <a:ln>
              <a:noFill/>
            </a:ln>
            <a:effectLst/>
          </c:spPr>
          <c:cat>
            <c:numRef>
              <c:f>'Figure 1.15'!$A$3:$A$8</c:f>
              <c:numCache>
                <c:formatCode>General</c:formatCode>
                <c:ptCount val="6"/>
                <c:pt idx="0">
                  <c:v>0</c:v>
                </c:pt>
                <c:pt idx="1">
                  <c:v>1</c:v>
                </c:pt>
                <c:pt idx="2">
                  <c:v>2</c:v>
                </c:pt>
                <c:pt idx="3">
                  <c:v>3</c:v>
                </c:pt>
                <c:pt idx="4">
                  <c:v>4</c:v>
                </c:pt>
                <c:pt idx="5">
                  <c:v>5</c:v>
                </c:pt>
              </c:numCache>
            </c:numRef>
          </c:cat>
          <c:val>
            <c:numRef>
              <c:f>'Figure 1.15'!$E$3:$E$8</c:f>
              <c:numCache>
                <c:formatCode>General</c:formatCode>
                <c:ptCount val="6"/>
                <c:pt idx="0">
                  <c:v>0</c:v>
                </c:pt>
                <c:pt idx="1">
                  <c:v>0.4733193</c:v>
                </c:pt>
                <c:pt idx="2">
                  <c:v>0.43766149999999998</c:v>
                </c:pt>
                <c:pt idx="3">
                  <c:v>0.24692259999999999</c:v>
                </c:pt>
                <c:pt idx="4">
                  <c:v>0.17255899999999999</c:v>
                </c:pt>
                <c:pt idx="5">
                  <c:v>-0.13173689999999999</c:v>
                </c:pt>
              </c:numCache>
            </c:numRef>
          </c:val>
          <c:extLst>
            <c:ext xmlns:c16="http://schemas.microsoft.com/office/drawing/2014/chart" uri="{C3380CC4-5D6E-409C-BE32-E72D297353CC}">
              <c16:uniqueId val="{00000000-2436-4665-96C4-C25E17EEE619}"/>
            </c:ext>
          </c:extLst>
        </c:ser>
        <c:ser>
          <c:idx val="7"/>
          <c:order val="4"/>
          <c:tx>
            <c:strRef>
              <c:f>'Figure 1.15'!$G$2</c:f>
              <c:strCache>
                <c:ptCount val="1"/>
                <c:pt idx="0">
                  <c:v>hi_dif</c:v>
                </c:pt>
              </c:strCache>
            </c:strRef>
          </c:tx>
          <c:spPr>
            <a:solidFill>
              <a:srgbClr val="C00000">
                <a:alpha val="20000"/>
              </a:srgbClr>
            </a:solidFill>
            <a:ln>
              <a:noFill/>
            </a:ln>
            <a:effectLst/>
          </c:spPr>
          <c:val>
            <c:numRef>
              <c:f>'Figure 1.15'!$G$3:$G$8</c:f>
              <c:numCache>
                <c:formatCode>General</c:formatCode>
                <c:ptCount val="6"/>
                <c:pt idx="0">
                  <c:v>0</c:v>
                </c:pt>
                <c:pt idx="1">
                  <c:v>0.46398050000000002</c:v>
                </c:pt>
                <c:pt idx="2">
                  <c:v>0.58669250000000006</c:v>
                </c:pt>
                <c:pt idx="3">
                  <c:v>0.68018449999999997</c:v>
                </c:pt>
                <c:pt idx="4">
                  <c:v>0.65967339999999997</c:v>
                </c:pt>
                <c:pt idx="5">
                  <c:v>0.96808760000000005</c:v>
                </c:pt>
              </c:numCache>
            </c:numRef>
          </c:val>
          <c:extLst>
            <c:ext xmlns:c16="http://schemas.microsoft.com/office/drawing/2014/chart" uri="{C3380CC4-5D6E-409C-BE32-E72D297353CC}">
              <c16:uniqueId val="{00000001-2436-4665-96C4-C25E17EEE619}"/>
            </c:ext>
          </c:extLst>
        </c:ser>
        <c:dLbls>
          <c:showLegendKey val="0"/>
          <c:showVal val="0"/>
          <c:showCatName val="0"/>
          <c:showSerName val="0"/>
          <c:showPercent val="0"/>
          <c:showBubbleSize val="0"/>
        </c:dLbls>
        <c:axId val="442758687"/>
        <c:axId val="442768671"/>
      </c:areaChart>
      <c:areaChart>
        <c:grouping val="stacked"/>
        <c:varyColors val="0"/>
        <c:ser>
          <c:idx val="2"/>
          <c:order val="1"/>
          <c:tx>
            <c:strRef>
              <c:f>'Figure 1.15'!$C$2</c:f>
              <c:strCache>
                <c:ptCount val="1"/>
                <c:pt idx="0">
                  <c:v>lo_Wggcbp_gdp_p25</c:v>
                </c:pt>
              </c:strCache>
            </c:strRef>
          </c:tx>
          <c:spPr>
            <a:noFill/>
            <a:ln>
              <a:noFill/>
            </a:ln>
            <a:effectLst/>
          </c:spPr>
          <c:cat>
            <c:numRef>
              <c:f>'Figure 1.15'!$A$3:$A$8</c:f>
              <c:numCache>
                <c:formatCode>General</c:formatCode>
                <c:ptCount val="6"/>
                <c:pt idx="0">
                  <c:v>0</c:v>
                </c:pt>
                <c:pt idx="1">
                  <c:v>1</c:v>
                </c:pt>
                <c:pt idx="2">
                  <c:v>2</c:v>
                </c:pt>
                <c:pt idx="3">
                  <c:v>3</c:v>
                </c:pt>
                <c:pt idx="4">
                  <c:v>4</c:v>
                </c:pt>
                <c:pt idx="5">
                  <c:v>5</c:v>
                </c:pt>
              </c:numCache>
            </c:numRef>
          </c:cat>
          <c:val>
            <c:numRef>
              <c:f>'Figure 1.15'!$C$3:$C$8</c:f>
              <c:numCache>
                <c:formatCode>General</c:formatCode>
                <c:ptCount val="6"/>
                <c:pt idx="0">
                  <c:v>0</c:v>
                </c:pt>
                <c:pt idx="1">
                  <c:v>0.30048809999999998</c:v>
                </c:pt>
                <c:pt idx="2">
                  <c:v>0.45093179999999999</c:v>
                </c:pt>
                <c:pt idx="3">
                  <c:v>0.57939470000000004</c:v>
                </c:pt>
                <c:pt idx="4">
                  <c:v>0.57380549999999997</c:v>
                </c:pt>
                <c:pt idx="5">
                  <c:v>0.4868576</c:v>
                </c:pt>
              </c:numCache>
            </c:numRef>
          </c:val>
          <c:extLst>
            <c:ext xmlns:c16="http://schemas.microsoft.com/office/drawing/2014/chart" uri="{C3380CC4-5D6E-409C-BE32-E72D297353CC}">
              <c16:uniqueId val="{00000002-2436-4665-96C4-C25E17EEE619}"/>
            </c:ext>
          </c:extLst>
        </c:ser>
        <c:ser>
          <c:idx val="1"/>
          <c:order val="5"/>
          <c:tx>
            <c:strRef>
              <c:f>'Figure 1.15'!$F$2</c:f>
              <c:strCache>
                <c:ptCount val="1"/>
                <c:pt idx="0">
                  <c:v>lo_dif</c:v>
                </c:pt>
              </c:strCache>
            </c:strRef>
          </c:tx>
          <c:spPr>
            <a:solidFill>
              <a:schemeClr val="accent1">
                <a:alpha val="20000"/>
              </a:schemeClr>
            </a:solidFill>
            <a:ln>
              <a:noFill/>
            </a:ln>
            <a:effectLst/>
          </c:spPr>
          <c:val>
            <c:numRef>
              <c:f>'Figure 1.15'!$F$3:$F$8</c:f>
              <c:numCache>
                <c:formatCode>General</c:formatCode>
                <c:ptCount val="6"/>
                <c:pt idx="0">
                  <c:v>0</c:v>
                </c:pt>
                <c:pt idx="1">
                  <c:v>0.18444470000000002</c:v>
                </c:pt>
                <c:pt idx="2">
                  <c:v>0.45132439999999996</c:v>
                </c:pt>
                <c:pt idx="3">
                  <c:v>0.45061830000000003</c:v>
                </c:pt>
                <c:pt idx="4">
                  <c:v>0.45585549999999997</c:v>
                </c:pt>
                <c:pt idx="5">
                  <c:v>0.38133249999999996</c:v>
                </c:pt>
              </c:numCache>
            </c:numRef>
          </c:val>
          <c:extLst>
            <c:ext xmlns:c16="http://schemas.microsoft.com/office/drawing/2014/chart" uri="{C3380CC4-5D6E-409C-BE32-E72D297353CC}">
              <c16:uniqueId val="{00000003-2436-4665-96C4-C25E17EEE619}"/>
            </c:ext>
          </c:extLst>
        </c:ser>
        <c:dLbls>
          <c:showLegendKey val="0"/>
          <c:showVal val="0"/>
          <c:showCatName val="0"/>
          <c:showSerName val="0"/>
          <c:showPercent val="0"/>
          <c:showBubbleSize val="0"/>
        </c:dLbls>
        <c:axId val="1538025392"/>
        <c:axId val="1538023728"/>
      </c:areaChart>
      <c:lineChart>
        <c:grouping val="standard"/>
        <c:varyColors val="0"/>
        <c:ser>
          <c:idx val="0"/>
          <c:order val="0"/>
          <c:tx>
            <c:strRef>
              <c:f>'Figure 1.15'!$B$1</c:f>
              <c:strCache>
                <c:ptCount val="1"/>
                <c:pt idx="0">
                  <c:v>Low inflation (25%)</c:v>
                </c:pt>
              </c:strCache>
            </c:strRef>
          </c:tx>
          <c:spPr>
            <a:ln w="28575" cap="rnd">
              <a:solidFill>
                <a:schemeClr val="accent1"/>
              </a:solidFill>
              <a:round/>
            </a:ln>
            <a:effectLst/>
          </c:spPr>
          <c:marker>
            <c:symbol val="none"/>
          </c:marker>
          <c:cat>
            <c:numRef>
              <c:f>'Figure 1.15'!$A$3:$A$8</c:f>
              <c:numCache>
                <c:formatCode>General</c:formatCode>
                <c:ptCount val="6"/>
                <c:pt idx="0">
                  <c:v>0</c:v>
                </c:pt>
                <c:pt idx="1">
                  <c:v>1</c:v>
                </c:pt>
                <c:pt idx="2">
                  <c:v>2</c:v>
                </c:pt>
                <c:pt idx="3">
                  <c:v>3</c:v>
                </c:pt>
                <c:pt idx="4">
                  <c:v>4</c:v>
                </c:pt>
                <c:pt idx="5">
                  <c:v>5</c:v>
                </c:pt>
              </c:numCache>
            </c:numRef>
          </c:cat>
          <c:val>
            <c:numRef>
              <c:f>'Figure 1.15'!$B$3:$B$8</c:f>
              <c:numCache>
                <c:formatCode>General</c:formatCode>
                <c:ptCount val="6"/>
                <c:pt idx="0">
                  <c:v>0</c:v>
                </c:pt>
                <c:pt idx="1">
                  <c:v>0.39271040000000002</c:v>
                </c:pt>
                <c:pt idx="2">
                  <c:v>0.67659400000000003</c:v>
                </c:pt>
                <c:pt idx="3">
                  <c:v>0.80470390000000003</c:v>
                </c:pt>
                <c:pt idx="4">
                  <c:v>0.80173309999999998</c:v>
                </c:pt>
                <c:pt idx="5">
                  <c:v>0.67752389999999996</c:v>
                </c:pt>
              </c:numCache>
            </c:numRef>
          </c:val>
          <c:smooth val="0"/>
          <c:extLst>
            <c:ext xmlns:c16="http://schemas.microsoft.com/office/drawing/2014/chart" uri="{C3380CC4-5D6E-409C-BE32-E72D297353CC}">
              <c16:uniqueId val="{00000004-2436-4665-96C4-C25E17EEE619}"/>
            </c:ext>
          </c:extLst>
        </c:ser>
        <c:ser>
          <c:idx val="3"/>
          <c:order val="2"/>
          <c:tx>
            <c:strRef>
              <c:f>'Figure 1.15'!$E$1</c:f>
              <c:strCache>
                <c:ptCount val="1"/>
                <c:pt idx="0">
                  <c:v>High inflation (75%)</c:v>
                </c:pt>
              </c:strCache>
            </c:strRef>
          </c:tx>
          <c:spPr>
            <a:ln w="28575" cap="rnd">
              <a:solidFill>
                <a:srgbClr val="C00000"/>
              </a:solidFill>
              <a:round/>
            </a:ln>
            <a:effectLst/>
          </c:spPr>
          <c:marker>
            <c:symbol val="none"/>
          </c:marker>
          <c:cat>
            <c:numRef>
              <c:f>'Figure 1.15'!$A$3:$A$8</c:f>
              <c:numCache>
                <c:formatCode>General</c:formatCode>
                <c:ptCount val="6"/>
                <c:pt idx="0">
                  <c:v>0</c:v>
                </c:pt>
                <c:pt idx="1">
                  <c:v>1</c:v>
                </c:pt>
                <c:pt idx="2">
                  <c:v>2</c:v>
                </c:pt>
                <c:pt idx="3">
                  <c:v>3</c:v>
                </c:pt>
                <c:pt idx="4">
                  <c:v>4</c:v>
                </c:pt>
                <c:pt idx="5">
                  <c:v>5</c:v>
                </c:pt>
              </c:numCache>
            </c:numRef>
          </c:cat>
          <c:val>
            <c:numRef>
              <c:f>'Figure 1.15'!$D$3:$D$8</c:f>
              <c:numCache>
                <c:formatCode>General</c:formatCode>
                <c:ptCount val="6"/>
                <c:pt idx="0">
                  <c:v>0</c:v>
                </c:pt>
                <c:pt idx="1">
                  <c:v>0.70530950000000003</c:v>
                </c:pt>
                <c:pt idx="2">
                  <c:v>0.73100759999999998</c:v>
                </c:pt>
                <c:pt idx="3">
                  <c:v>0.58701490000000001</c:v>
                </c:pt>
                <c:pt idx="4">
                  <c:v>0.5023957</c:v>
                </c:pt>
                <c:pt idx="5">
                  <c:v>0.35230689999999998</c:v>
                </c:pt>
              </c:numCache>
            </c:numRef>
          </c:val>
          <c:smooth val="0"/>
          <c:extLst>
            <c:ext xmlns:c16="http://schemas.microsoft.com/office/drawing/2014/chart" uri="{C3380CC4-5D6E-409C-BE32-E72D297353CC}">
              <c16:uniqueId val="{00000005-2436-4665-96C4-C25E17EEE619}"/>
            </c:ext>
          </c:extLst>
        </c:ser>
        <c:dLbls>
          <c:showLegendKey val="0"/>
          <c:showVal val="0"/>
          <c:showCatName val="0"/>
          <c:showSerName val="0"/>
          <c:showPercent val="0"/>
          <c:showBubbleSize val="0"/>
        </c:dLbls>
        <c:marker val="1"/>
        <c:smooth val="0"/>
        <c:axId val="442758687"/>
        <c:axId val="442768671"/>
      </c:lineChart>
      <c:catAx>
        <c:axId val="442758687"/>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r>
                  <a:rPr lang="es-CO"/>
                  <a:t>Years after fiscal consolidation onset</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title>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442768671"/>
        <c:crosses val="autoZero"/>
        <c:auto val="1"/>
        <c:lblAlgn val="ctr"/>
        <c:lblOffset val="100"/>
        <c:noMultiLvlLbl val="0"/>
      </c:catAx>
      <c:valAx>
        <c:axId val="442768671"/>
        <c:scaling>
          <c:orientation val="minMax"/>
          <c:max val="1.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442758687"/>
        <c:crosses val="autoZero"/>
        <c:crossBetween val="between"/>
      </c:valAx>
      <c:valAx>
        <c:axId val="1538023728"/>
        <c:scaling>
          <c:orientation val="minMax"/>
          <c:min val="-0.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bg1"/>
                </a:solidFill>
                <a:latin typeface="HelveticaNeueLT Std"/>
                <a:ea typeface="+mn-ea"/>
                <a:cs typeface="+mn-cs"/>
              </a:defRPr>
            </a:pPr>
            <a:endParaRPr lang="en-US"/>
          </a:p>
        </c:txPr>
        <c:crossAx val="1538025392"/>
        <c:crosses val="max"/>
        <c:crossBetween val="between"/>
      </c:valAx>
      <c:catAx>
        <c:axId val="1538025392"/>
        <c:scaling>
          <c:orientation val="minMax"/>
        </c:scaling>
        <c:delete val="1"/>
        <c:axPos val="b"/>
        <c:numFmt formatCode="General" sourceLinked="1"/>
        <c:majorTickMark val="out"/>
        <c:minorTickMark val="none"/>
        <c:tickLblPos val="nextTo"/>
        <c:crossAx val="1538023728"/>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
          <c:y val="0.82499216121664243"/>
          <c:w val="1"/>
          <c:h val="0.1629529043890869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87270341207352"/>
          <c:y val="6.8009352000394305E-2"/>
          <c:w val="0.80557165354330706"/>
          <c:h val="0.63998443860730203"/>
        </c:manualLayout>
      </c:layout>
      <c:areaChart>
        <c:grouping val="standard"/>
        <c:varyColors val="0"/>
        <c:ser>
          <c:idx val="1"/>
          <c:order val="1"/>
          <c:tx>
            <c:strRef>
              <c:f>'Figure 1.15'!$R$2</c:f>
              <c:strCache>
                <c:ptCount val="1"/>
                <c:pt idx="0">
                  <c:v>up_ggxwdg_gdp_p25</c:v>
                </c:pt>
              </c:strCache>
            </c:strRef>
          </c:tx>
          <c:spPr>
            <a:solidFill>
              <a:schemeClr val="accent1">
                <a:alpha val="20000"/>
              </a:schemeClr>
            </a:solidFill>
            <a:ln>
              <a:noFill/>
              <a:prstDash val="sysDot"/>
            </a:ln>
            <a:effectLst/>
          </c:spPr>
          <c:cat>
            <c:numRef>
              <c:f>'Figure 1.15'!$P$3:$P$8</c:f>
              <c:numCache>
                <c:formatCode>General</c:formatCode>
                <c:ptCount val="6"/>
                <c:pt idx="0">
                  <c:v>0</c:v>
                </c:pt>
                <c:pt idx="1">
                  <c:v>1</c:v>
                </c:pt>
                <c:pt idx="2">
                  <c:v>2</c:v>
                </c:pt>
                <c:pt idx="3">
                  <c:v>3</c:v>
                </c:pt>
                <c:pt idx="4">
                  <c:v>4</c:v>
                </c:pt>
                <c:pt idx="5">
                  <c:v>5</c:v>
                </c:pt>
              </c:numCache>
            </c:numRef>
          </c:cat>
          <c:val>
            <c:numRef>
              <c:f>'Figure 1.15'!$R$3:$R$8</c:f>
              <c:numCache>
                <c:formatCode>General</c:formatCode>
                <c:ptCount val="6"/>
                <c:pt idx="0">
                  <c:v>0</c:v>
                </c:pt>
                <c:pt idx="1">
                  <c:v>1.546583</c:v>
                </c:pt>
                <c:pt idx="2">
                  <c:v>2.4376989999999998</c:v>
                </c:pt>
                <c:pt idx="3">
                  <c:v>2.5716809999999999</c:v>
                </c:pt>
                <c:pt idx="4">
                  <c:v>2.3848050000000001</c:v>
                </c:pt>
                <c:pt idx="5">
                  <c:v>2.3296969999999999</c:v>
                </c:pt>
              </c:numCache>
            </c:numRef>
          </c:val>
          <c:extLst>
            <c:ext xmlns:c16="http://schemas.microsoft.com/office/drawing/2014/chart" uri="{C3380CC4-5D6E-409C-BE32-E72D297353CC}">
              <c16:uniqueId val="{00000000-3B31-4844-8A6F-E55C1D3EC30E}"/>
            </c:ext>
          </c:extLst>
        </c:ser>
        <c:ser>
          <c:idx val="2"/>
          <c:order val="2"/>
          <c:tx>
            <c:strRef>
              <c:f>'Figure 1.15'!$S$2</c:f>
              <c:strCache>
                <c:ptCount val="1"/>
                <c:pt idx="0">
                  <c:v>lo_ggxwdg_gdp_p25</c:v>
                </c:pt>
              </c:strCache>
            </c:strRef>
          </c:tx>
          <c:spPr>
            <a:solidFill>
              <a:schemeClr val="accent1">
                <a:alpha val="19000"/>
              </a:schemeClr>
            </a:solidFill>
            <a:ln>
              <a:noFill/>
              <a:prstDash val="sysDot"/>
            </a:ln>
            <a:effectLst/>
          </c:spPr>
          <c:cat>
            <c:numRef>
              <c:f>'Figure 1.15'!$P$3:$P$8</c:f>
              <c:numCache>
                <c:formatCode>General</c:formatCode>
                <c:ptCount val="6"/>
                <c:pt idx="0">
                  <c:v>0</c:v>
                </c:pt>
                <c:pt idx="1">
                  <c:v>1</c:v>
                </c:pt>
                <c:pt idx="2">
                  <c:v>2</c:v>
                </c:pt>
                <c:pt idx="3">
                  <c:v>3</c:v>
                </c:pt>
                <c:pt idx="4">
                  <c:v>4</c:v>
                </c:pt>
                <c:pt idx="5">
                  <c:v>5</c:v>
                </c:pt>
              </c:numCache>
            </c:numRef>
          </c:cat>
          <c:val>
            <c:numRef>
              <c:f>'Figure 1.15'!$S$3:$S$8</c:f>
              <c:numCache>
                <c:formatCode>General</c:formatCode>
                <c:ptCount val="6"/>
                <c:pt idx="0">
                  <c:v>0</c:v>
                </c:pt>
                <c:pt idx="1">
                  <c:v>0.38987040000000001</c:v>
                </c:pt>
                <c:pt idx="2">
                  <c:v>0.63060309999999997</c:v>
                </c:pt>
                <c:pt idx="3">
                  <c:v>0.69783439999999997</c:v>
                </c:pt>
                <c:pt idx="4">
                  <c:v>-7.8687000000000007E-2</c:v>
                </c:pt>
                <c:pt idx="5">
                  <c:v>-9.1735399999999995E-2</c:v>
                </c:pt>
              </c:numCache>
            </c:numRef>
          </c:val>
          <c:extLst>
            <c:ext xmlns:c16="http://schemas.microsoft.com/office/drawing/2014/chart" uri="{C3380CC4-5D6E-409C-BE32-E72D297353CC}">
              <c16:uniqueId val="{00000001-3B31-4844-8A6F-E55C1D3EC30E}"/>
            </c:ext>
          </c:extLst>
        </c:ser>
        <c:ser>
          <c:idx val="4"/>
          <c:order val="4"/>
          <c:tx>
            <c:strRef>
              <c:f>'Figure 1.15'!$U$2</c:f>
              <c:strCache>
                <c:ptCount val="1"/>
                <c:pt idx="0">
                  <c:v>up_ggxwdg_gdp_p75</c:v>
                </c:pt>
              </c:strCache>
            </c:strRef>
          </c:tx>
          <c:spPr>
            <a:solidFill>
              <a:srgbClr val="C00000">
                <a:alpha val="20000"/>
              </a:srgbClr>
            </a:solidFill>
            <a:ln>
              <a:noFill/>
              <a:prstDash val="sysDot"/>
            </a:ln>
            <a:effectLst/>
          </c:spPr>
          <c:cat>
            <c:numRef>
              <c:f>'Figure 1.15'!$P$3:$P$8</c:f>
              <c:numCache>
                <c:formatCode>General</c:formatCode>
                <c:ptCount val="6"/>
                <c:pt idx="0">
                  <c:v>0</c:v>
                </c:pt>
                <c:pt idx="1">
                  <c:v>1</c:v>
                </c:pt>
                <c:pt idx="2">
                  <c:v>2</c:v>
                </c:pt>
                <c:pt idx="3">
                  <c:v>3</c:v>
                </c:pt>
                <c:pt idx="4">
                  <c:v>4</c:v>
                </c:pt>
                <c:pt idx="5">
                  <c:v>5</c:v>
                </c:pt>
              </c:numCache>
            </c:numRef>
          </c:cat>
          <c:val>
            <c:numRef>
              <c:f>'Figure 1.15'!$U$3:$U$8</c:f>
              <c:numCache>
                <c:formatCode>General</c:formatCode>
                <c:ptCount val="6"/>
                <c:pt idx="0">
                  <c:v>0</c:v>
                </c:pt>
                <c:pt idx="1">
                  <c:v>0.20003560000000001</c:v>
                </c:pt>
                <c:pt idx="2">
                  <c:v>1.5609150000000001</c:v>
                </c:pt>
                <c:pt idx="3">
                  <c:v>1.1385799999999999</c:v>
                </c:pt>
                <c:pt idx="4">
                  <c:v>0.80628069999999996</c:v>
                </c:pt>
                <c:pt idx="5">
                  <c:v>1.2120930000000001</c:v>
                </c:pt>
              </c:numCache>
            </c:numRef>
          </c:val>
          <c:extLst>
            <c:ext xmlns:c16="http://schemas.microsoft.com/office/drawing/2014/chart" uri="{C3380CC4-5D6E-409C-BE32-E72D297353CC}">
              <c16:uniqueId val="{00000002-3B31-4844-8A6F-E55C1D3EC30E}"/>
            </c:ext>
          </c:extLst>
        </c:ser>
        <c:ser>
          <c:idx val="5"/>
          <c:order val="5"/>
          <c:tx>
            <c:strRef>
              <c:f>'Figure 1.15'!$V$2</c:f>
              <c:strCache>
                <c:ptCount val="1"/>
                <c:pt idx="0">
                  <c:v>lo_ggxwdg_gdp_p75</c:v>
                </c:pt>
              </c:strCache>
            </c:strRef>
          </c:tx>
          <c:spPr>
            <a:solidFill>
              <a:srgbClr val="C00000">
                <a:alpha val="20000"/>
              </a:srgbClr>
            </a:solidFill>
            <a:ln>
              <a:noFill/>
              <a:prstDash val="sysDot"/>
            </a:ln>
            <a:effectLst/>
          </c:spPr>
          <c:cat>
            <c:numRef>
              <c:f>'Figure 1.15'!$P$3:$P$8</c:f>
              <c:numCache>
                <c:formatCode>General</c:formatCode>
                <c:ptCount val="6"/>
                <c:pt idx="0">
                  <c:v>0</c:v>
                </c:pt>
                <c:pt idx="1">
                  <c:v>1</c:v>
                </c:pt>
                <c:pt idx="2">
                  <c:v>2</c:v>
                </c:pt>
                <c:pt idx="3">
                  <c:v>3</c:v>
                </c:pt>
                <c:pt idx="4">
                  <c:v>4</c:v>
                </c:pt>
                <c:pt idx="5">
                  <c:v>5</c:v>
                </c:pt>
              </c:numCache>
            </c:numRef>
          </c:cat>
          <c:val>
            <c:numRef>
              <c:f>'Figure 1.15'!$V$3:$V$8</c:f>
              <c:numCache>
                <c:formatCode>General</c:formatCode>
                <c:ptCount val="6"/>
                <c:pt idx="0">
                  <c:v>0</c:v>
                </c:pt>
                <c:pt idx="1">
                  <c:v>-2.349688</c:v>
                </c:pt>
                <c:pt idx="2">
                  <c:v>-2.1607780000000001</c:v>
                </c:pt>
                <c:pt idx="3">
                  <c:v>-2.7126299999999999</c:v>
                </c:pt>
                <c:pt idx="4">
                  <c:v>-4.1103209999999999</c:v>
                </c:pt>
                <c:pt idx="5">
                  <c:v>-4.8421799999999999</c:v>
                </c:pt>
              </c:numCache>
            </c:numRef>
          </c:val>
          <c:extLst>
            <c:ext xmlns:c16="http://schemas.microsoft.com/office/drawing/2014/chart" uri="{C3380CC4-5D6E-409C-BE32-E72D297353CC}">
              <c16:uniqueId val="{00000003-3B31-4844-8A6F-E55C1D3EC30E}"/>
            </c:ext>
          </c:extLst>
        </c:ser>
        <c:dLbls>
          <c:showLegendKey val="0"/>
          <c:showVal val="0"/>
          <c:showCatName val="0"/>
          <c:showSerName val="0"/>
          <c:showPercent val="0"/>
          <c:showBubbleSize val="0"/>
        </c:dLbls>
        <c:axId val="442758687"/>
        <c:axId val="442768671"/>
      </c:areaChart>
      <c:lineChart>
        <c:grouping val="standard"/>
        <c:varyColors val="0"/>
        <c:ser>
          <c:idx val="0"/>
          <c:order val="0"/>
          <c:tx>
            <c:strRef>
              <c:f>'Figure 1.15'!$Q$1</c:f>
              <c:strCache>
                <c:ptCount val="1"/>
                <c:pt idx="0">
                  <c:v>Low inflation (25%)</c:v>
                </c:pt>
              </c:strCache>
            </c:strRef>
          </c:tx>
          <c:spPr>
            <a:ln w="28575" cap="rnd">
              <a:solidFill>
                <a:schemeClr val="accent1"/>
              </a:solidFill>
              <a:round/>
            </a:ln>
            <a:effectLst/>
          </c:spPr>
          <c:marker>
            <c:symbol val="none"/>
          </c:marker>
          <c:cat>
            <c:numRef>
              <c:f>'Figure 1.15'!$P$3:$P$8</c:f>
              <c:numCache>
                <c:formatCode>General</c:formatCode>
                <c:ptCount val="6"/>
                <c:pt idx="0">
                  <c:v>0</c:v>
                </c:pt>
                <c:pt idx="1">
                  <c:v>1</c:v>
                </c:pt>
                <c:pt idx="2">
                  <c:v>2</c:v>
                </c:pt>
                <c:pt idx="3">
                  <c:v>3</c:v>
                </c:pt>
                <c:pt idx="4">
                  <c:v>4</c:v>
                </c:pt>
                <c:pt idx="5">
                  <c:v>5</c:v>
                </c:pt>
              </c:numCache>
            </c:numRef>
          </c:cat>
          <c:val>
            <c:numRef>
              <c:f>'Figure 1.15'!$Q$3:$Q$8</c:f>
              <c:numCache>
                <c:formatCode>General</c:formatCode>
                <c:ptCount val="6"/>
                <c:pt idx="0">
                  <c:v>0</c:v>
                </c:pt>
                <c:pt idx="1">
                  <c:v>0.96822660000000005</c:v>
                </c:pt>
                <c:pt idx="2">
                  <c:v>1.534151</c:v>
                </c:pt>
                <c:pt idx="3">
                  <c:v>1.6347579999999999</c:v>
                </c:pt>
                <c:pt idx="4">
                  <c:v>1.1530590000000001</c:v>
                </c:pt>
                <c:pt idx="5">
                  <c:v>1.118981</c:v>
                </c:pt>
              </c:numCache>
            </c:numRef>
          </c:val>
          <c:smooth val="0"/>
          <c:extLst>
            <c:ext xmlns:c16="http://schemas.microsoft.com/office/drawing/2014/chart" uri="{C3380CC4-5D6E-409C-BE32-E72D297353CC}">
              <c16:uniqueId val="{00000004-3B31-4844-8A6F-E55C1D3EC30E}"/>
            </c:ext>
          </c:extLst>
        </c:ser>
        <c:ser>
          <c:idx val="3"/>
          <c:order val="3"/>
          <c:tx>
            <c:strRef>
              <c:f>'Figure 1.15'!$T$1</c:f>
              <c:strCache>
                <c:ptCount val="1"/>
                <c:pt idx="0">
                  <c:v>High inflation (75%)</c:v>
                </c:pt>
              </c:strCache>
            </c:strRef>
          </c:tx>
          <c:spPr>
            <a:ln w="28575" cap="rnd">
              <a:solidFill>
                <a:srgbClr val="C00000"/>
              </a:solidFill>
              <a:round/>
            </a:ln>
            <a:effectLst/>
          </c:spPr>
          <c:marker>
            <c:symbol val="none"/>
          </c:marker>
          <c:cat>
            <c:numRef>
              <c:f>'Figure 1.15'!$P$3:$P$8</c:f>
              <c:numCache>
                <c:formatCode>General</c:formatCode>
                <c:ptCount val="6"/>
                <c:pt idx="0">
                  <c:v>0</c:v>
                </c:pt>
                <c:pt idx="1">
                  <c:v>1</c:v>
                </c:pt>
                <c:pt idx="2">
                  <c:v>2</c:v>
                </c:pt>
                <c:pt idx="3">
                  <c:v>3</c:v>
                </c:pt>
                <c:pt idx="4">
                  <c:v>4</c:v>
                </c:pt>
                <c:pt idx="5">
                  <c:v>5</c:v>
                </c:pt>
              </c:numCache>
            </c:numRef>
          </c:cat>
          <c:val>
            <c:numRef>
              <c:f>'Figure 1.15'!$T$3:$T$8</c:f>
              <c:numCache>
                <c:formatCode>General</c:formatCode>
                <c:ptCount val="6"/>
                <c:pt idx="0">
                  <c:v>0</c:v>
                </c:pt>
                <c:pt idx="1">
                  <c:v>-1.0748260000000001</c:v>
                </c:pt>
                <c:pt idx="2">
                  <c:v>-0.29993140000000001</c:v>
                </c:pt>
                <c:pt idx="3">
                  <c:v>-0.78702519999999998</c:v>
                </c:pt>
                <c:pt idx="4">
                  <c:v>-1.65202</c:v>
                </c:pt>
                <c:pt idx="5">
                  <c:v>-1.815043</c:v>
                </c:pt>
              </c:numCache>
            </c:numRef>
          </c:val>
          <c:smooth val="0"/>
          <c:extLst>
            <c:ext xmlns:c16="http://schemas.microsoft.com/office/drawing/2014/chart" uri="{C3380CC4-5D6E-409C-BE32-E72D297353CC}">
              <c16:uniqueId val="{00000005-3B31-4844-8A6F-E55C1D3EC30E}"/>
            </c:ext>
          </c:extLst>
        </c:ser>
        <c:dLbls>
          <c:showLegendKey val="0"/>
          <c:showVal val="0"/>
          <c:showCatName val="0"/>
          <c:showSerName val="0"/>
          <c:showPercent val="0"/>
          <c:showBubbleSize val="0"/>
        </c:dLbls>
        <c:marker val="1"/>
        <c:smooth val="0"/>
        <c:axId val="442758687"/>
        <c:axId val="442768671"/>
      </c:lineChart>
      <c:catAx>
        <c:axId val="442758687"/>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r>
                  <a:rPr lang="es-CO"/>
                  <a:t>Years after fiscal consolidation onset</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title>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442768671"/>
        <c:crosses val="autoZero"/>
        <c:auto val="1"/>
        <c:lblAlgn val="ctr"/>
        <c:lblOffset val="100"/>
        <c:noMultiLvlLbl val="0"/>
      </c:catAx>
      <c:valAx>
        <c:axId val="442768671"/>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442758687"/>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0643067442656626"/>
          <c:y val="0.92187445319335082"/>
          <c:w val="0.82481981056715725"/>
          <c:h val="7.812554680664918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04044261909122E-2"/>
          <c:y val="3.675051607560044E-2"/>
          <c:w val="0.89056007533941983"/>
          <c:h val="0.80700577263006956"/>
        </c:manualLayout>
      </c:layout>
      <c:barChart>
        <c:barDir val="col"/>
        <c:grouping val="stacked"/>
        <c:varyColors val="0"/>
        <c:ser>
          <c:idx val="0"/>
          <c:order val="0"/>
          <c:tx>
            <c:strRef>
              <c:f>'Figure 1.16'!$H$3</c:f>
              <c:strCache>
                <c:ptCount val="1"/>
                <c:pt idx="0">
                  <c:v>Real</c:v>
                </c:pt>
              </c:strCache>
            </c:strRef>
          </c:tx>
          <c:spPr>
            <a:solidFill>
              <a:schemeClr val="accent1"/>
            </a:solidFill>
            <a:ln>
              <a:noFill/>
            </a:ln>
            <a:effectLst/>
          </c:spPr>
          <c:invertIfNegative val="0"/>
          <c:cat>
            <c:strRef>
              <c:f>'Figure 1.16'!$I$2:$K$2</c:f>
              <c:strCache>
                <c:ptCount val="3"/>
                <c:pt idx="0">
                  <c:v>Advanced economies</c:v>
                </c:pt>
                <c:pt idx="1">
                  <c:v>Emerging market economies</c:v>
                </c:pt>
                <c:pt idx="2">
                  <c:v>Low-income and developing countries</c:v>
                </c:pt>
              </c:strCache>
            </c:strRef>
          </c:cat>
          <c:val>
            <c:numRef>
              <c:f>'Figure 1.16'!$I$3:$K$3</c:f>
              <c:numCache>
                <c:formatCode>General</c:formatCode>
                <c:ptCount val="3"/>
                <c:pt idx="0">
                  <c:v>5</c:v>
                </c:pt>
                <c:pt idx="1">
                  <c:v>11</c:v>
                </c:pt>
                <c:pt idx="2">
                  <c:v>1</c:v>
                </c:pt>
              </c:numCache>
            </c:numRef>
          </c:val>
          <c:extLst>
            <c:ext xmlns:c16="http://schemas.microsoft.com/office/drawing/2014/chart" uri="{C3380CC4-5D6E-409C-BE32-E72D297353CC}">
              <c16:uniqueId val="{00000000-7739-4A39-8743-C7A6592F2634}"/>
            </c:ext>
          </c:extLst>
        </c:ser>
        <c:ser>
          <c:idx val="1"/>
          <c:order val="1"/>
          <c:tx>
            <c:strRef>
              <c:f>'Figure 1.16'!$H$4</c:f>
              <c:strCache>
                <c:ptCount val="1"/>
                <c:pt idx="0">
                  <c:v>Nominal</c:v>
                </c:pt>
              </c:strCache>
            </c:strRef>
          </c:tx>
          <c:spPr>
            <a:solidFill>
              <a:schemeClr val="accent2"/>
            </a:solidFill>
            <a:ln>
              <a:noFill/>
            </a:ln>
            <a:effectLst/>
          </c:spPr>
          <c:invertIfNegative val="0"/>
          <c:cat>
            <c:strRef>
              <c:f>'Figure 1.16'!$I$2:$K$2</c:f>
              <c:strCache>
                <c:ptCount val="3"/>
                <c:pt idx="0">
                  <c:v>Advanced economies</c:v>
                </c:pt>
                <c:pt idx="1">
                  <c:v>Emerging market economies</c:v>
                </c:pt>
                <c:pt idx="2">
                  <c:v>Low-income and developing countries</c:v>
                </c:pt>
              </c:strCache>
            </c:strRef>
          </c:cat>
          <c:val>
            <c:numRef>
              <c:f>'Figure 1.16'!$I$4:$K$4</c:f>
              <c:numCache>
                <c:formatCode>General</c:formatCode>
                <c:ptCount val="3"/>
                <c:pt idx="0">
                  <c:v>6</c:v>
                </c:pt>
                <c:pt idx="1">
                  <c:v>10</c:v>
                </c:pt>
                <c:pt idx="2">
                  <c:v>4</c:v>
                </c:pt>
              </c:numCache>
            </c:numRef>
          </c:val>
          <c:extLst>
            <c:ext xmlns:c16="http://schemas.microsoft.com/office/drawing/2014/chart" uri="{C3380CC4-5D6E-409C-BE32-E72D297353CC}">
              <c16:uniqueId val="{00000001-7739-4A39-8743-C7A6592F2634}"/>
            </c:ext>
          </c:extLst>
        </c:ser>
        <c:ser>
          <c:idx val="2"/>
          <c:order val="2"/>
          <c:tx>
            <c:strRef>
              <c:f>'Figure 1.16'!$H$5</c:f>
              <c:strCache>
                <c:ptCount val="1"/>
                <c:pt idx="0">
                  <c:v>Other</c:v>
                </c:pt>
              </c:strCache>
            </c:strRef>
          </c:tx>
          <c:spPr>
            <a:solidFill>
              <a:schemeClr val="accent3"/>
            </a:solidFill>
            <a:ln>
              <a:noFill/>
            </a:ln>
            <a:effectLst/>
          </c:spPr>
          <c:invertIfNegative val="0"/>
          <c:cat>
            <c:strRef>
              <c:f>'Figure 1.16'!$I$2:$K$2</c:f>
              <c:strCache>
                <c:ptCount val="3"/>
                <c:pt idx="0">
                  <c:v>Advanced economies</c:v>
                </c:pt>
                <c:pt idx="1">
                  <c:v>Emerging market economies</c:v>
                </c:pt>
                <c:pt idx="2">
                  <c:v>Low-income and developing countries</c:v>
                </c:pt>
              </c:strCache>
            </c:strRef>
          </c:cat>
          <c:val>
            <c:numRef>
              <c:f>'Figure 1.16'!$I$5:$K$5</c:f>
              <c:numCache>
                <c:formatCode>General</c:formatCode>
                <c:ptCount val="3"/>
                <c:pt idx="0">
                  <c:v>2</c:v>
                </c:pt>
                <c:pt idx="1">
                  <c:v>2</c:v>
                </c:pt>
                <c:pt idx="2">
                  <c:v>0</c:v>
                </c:pt>
              </c:numCache>
            </c:numRef>
          </c:val>
          <c:extLst>
            <c:ext xmlns:c16="http://schemas.microsoft.com/office/drawing/2014/chart" uri="{C3380CC4-5D6E-409C-BE32-E72D297353CC}">
              <c16:uniqueId val="{00000002-7739-4A39-8743-C7A6592F2634}"/>
            </c:ext>
          </c:extLst>
        </c:ser>
        <c:dLbls>
          <c:showLegendKey val="0"/>
          <c:showVal val="0"/>
          <c:showCatName val="0"/>
          <c:showSerName val="0"/>
          <c:showPercent val="0"/>
          <c:showBubbleSize val="0"/>
        </c:dLbls>
        <c:gapWidth val="219"/>
        <c:overlap val="100"/>
        <c:axId val="330047647"/>
        <c:axId val="330034751"/>
      </c:barChart>
      <c:catAx>
        <c:axId val="330047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330034751"/>
        <c:crosses val="autoZero"/>
        <c:auto val="1"/>
        <c:lblAlgn val="ctr"/>
        <c:lblOffset val="100"/>
        <c:noMultiLvlLbl val="0"/>
      </c:catAx>
      <c:valAx>
        <c:axId val="330034751"/>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crossAx val="330047647"/>
        <c:crosses val="autoZero"/>
        <c:crossBetween val="between"/>
      </c:valAx>
      <c:spPr>
        <a:noFill/>
        <a:ln>
          <a:noFill/>
        </a:ln>
        <a:effectLst/>
      </c:spPr>
    </c:plotArea>
    <c:legend>
      <c:legendPos val="b"/>
      <c:layout>
        <c:manualLayout>
          <c:xMode val="edge"/>
          <c:yMode val="edge"/>
          <c:x val="0.72604473278049553"/>
          <c:y val="2.896105019839559E-2"/>
          <c:w val="0.27349192978784631"/>
          <c:h val="0.1672712888910864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LIDCs</c:v>
          </c:tx>
          <c:spPr>
            <a:ln w="28575" cap="rnd">
              <a:solidFill>
                <a:srgbClr val="FFC000"/>
              </a:solidFill>
              <a:round/>
            </a:ln>
            <a:effectLst/>
          </c:spPr>
          <c:marker>
            <c:symbol val="none"/>
          </c:marker>
          <c:cat>
            <c:strRef>
              <c:f>'Figure 1.17'!$B$2:$B$73</c:f>
              <c:strCache>
                <c:ptCount val="72"/>
                <c:pt idx="0">
                  <c:v>Jan-2017</c:v>
                </c:pt>
                <c:pt idx="1">
                  <c:v>Feb-17</c:v>
                </c:pt>
                <c:pt idx="2">
                  <c:v>Mar-17</c:v>
                </c:pt>
                <c:pt idx="3">
                  <c:v>Apr-17</c:v>
                </c:pt>
                <c:pt idx="4">
                  <c:v>May-17</c:v>
                </c:pt>
                <c:pt idx="5">
                  <c:v>Jun-17</c:v>
                </c:pt>
                <c:pt idx="6">
                  <c:v>Jul-17</c:v>
                </c:pt>
                <c:pt idx="7">
                  <c:v>Aug-17</c:v>
                </c:pt>
                <c:pt idx="8">
                  <c:v>Sep-17</c:v>
                </c:pt>
                <c:pt idx="9">
                  <c:v>Oct-17</c:v>
                </c:pt>
                <c:pt idx="10">
                  <c:v>Nov-17</c:v>
                </c:pt>
                <c:pt idx="11">
                  <c:v>Dec-17</c:v>
                </c:pt>
                <c:pt idx="12">
                  <c:v>Jan-18</c:v>
                </c:pt>
                <c:pt idx="13">
                  <c:v>Feb-18</c:v>
                </c:pt>
                <c:pt idx="14">
                  <c:v>Mar-18</c:v>
                </c:pt>
                <c:pt idx="15">
                  <c:v>Apr-18</c:v>
                </c:pt>
                <c:pt idx="16">
                  <c:v>May-18</c:v>
                </c:pt>
                <c:pt idx="17">
                  <c:v>Jun-18</c:v>
                </c:pt>
                <c:pt idx="18">
                  <c:v>Jul-18</c:v>
                </c:pt>
                <c:pt idx="19">
                  <c:v>Aug-18</c:v>
                </c:pt>
                <c:pt idx="20">
                  <c:v>Sep-18</c:v>
                </c:pt>
                <c:pt idx="21">
                  <c:v>Oct-18</c:v>
                </c:pt>
                <c:pt idx="22">
                  <c:v>Nov-18</c:v>
                </c:pt>
                <c:pt idx="23">
                  <c:v>Dec-18</c:v>
                </c:pt>
                <c:pt idx="24">
                  <c:v>Jan-19</c:v>
                </c:pt>
                <c:pt idx="25">
                  <c:v>Feb-19</c:v>
                </c:pt>
                <c:pt idx="26">
                  <c:v>Mar-19</c:v>
                </c:pt>
                <c:pt idx="27">
                  <c:v>Apr-19</c:v>
                </c:pt>
                <c:pt idx="28">
                  <c:v>May-19</c:v>
                </c:pt>
                <c:pt idx="29">
                  <c:v>Jun-19</c:v>
                </c:pt>
                <c:pt idx="30">
                  <c:v>Jul-19</c:v>
                </c:pt>
                <c:pt idx="31">
                  <c:v>Aug-19</c:v>
                </c:pt>
                <c:pt idx="32">
                  <c:v>Sep-19</c:v>
                </c:pt>
                <c:pt idx="33">
                  <c:v>Oct-19</c:v>
                </c:pt>
                <c:pt idx="34">
                  <c:v>Nov-19</c:v>
                </c:pt>
                <c:pt idx="35">
                  <c:v>Dec-19</c:v>
                </c:pt>
                <c:pt idx="36">
                  <c:v>Jan-20</c:v>
                </c:pt>
                <c:pt idx="37">
                  <c:v>Feb-20</c:v>
                </c:pt>
                <c:pt idx="38">
                  <c:v>Mar-20</c:v>
                </c:pt>
                <c:pt idx="39">
                  <c:v>Apr-20</c:v>
                </c:pt>
                <c:pt idx="40">
                  <c:v>May-20</c:v>
                </c:pt>
                <c:pt idx="41">
                  <c:v>Jun-20</c:v>
                </c:pt>
                <c:pt idx="42">
                  <c:v>Jul-20</c:v>
                </c:pt>
                <c:pt idx="43">
                  <c:v>Aug-20</c:v>
                </c:pt>
                <c:pt idx="44">
                  <c:v>Sep-20</c:v>
                </c:pt>
                <c:pt idx="45">
                  <c:v>Oct-20</c:v>
                </c:pt>
                <c:pt idx="46">
                  <c:v>Nov-20</c:v>
                </c:pt>
                <c:pt idx="47">
                  <c:v>Dec-20</c:v>
                </c:pt>
                <c:pt idx="48">
                  <c:v>Jan-21</c:v>
                </c:pt>
                <c:pt idx="49">
                  <c:v>Feb-21</c:v>
                </c:pt>
                <c:pt idx="50">
                  <c:v>Mar-21</c:v>
                </c:pt>
                <c:pt idx="51">
                  <c:v>Apr-21</c:v>
                </c:pt>
                <c:pt idx="52">
                  <c:v>May-21</c:v>
                </c:pt>
                <c:pt idx="53">
                  <c:v>Jun-21</c:v>
                </c:pt>
                <c:pt idx="54">
                  <c:v>Jul-21</c:v>
                </c:pt>
                <c:pt idx="55">
                  <c:v>Aug-21</c:v>
                </c:pt>
                <c:pt idx="56">
                  <c:v>Sep-21</c:v>
                </c:pt>
                <c:pt idx="57">
                  <c:v>Oct-21</c:v>
                </c:pt>
                <c:pt idx="58">
                  <c:v>Nov-21</c:v>
                </c:pt>
                <c:pt idx="59">
                  <c:v>Dec-21</c:v>
                </c:pt>
                <c:pt idx="60">
                  <c:v>Jan-22</c:v>
                </c:pt>
                <c:pt idx="61">
                  <c:v>Feb-22</c:v>
                </c:pt>
                <c:pt idx="62">
                  <c:v>Mar-22</c:v>
                </c:pt>
                <c:pt idx="63">
                  <c:v>Apr-22</c:v>
                </c:pt>
                <c:pt idx="64">
                  <c:v>May-22</c:v>
                </c:pt>
                <c:pt idx="65">
                  <c:v>Jun-22</c:v>
                </c:pt>
                <c:pt idx="66">
                  <c:v>Jul-22</c:v>
                </c:pt>
                <c:pt idx="67">
                  <c:v>Aug-22</c:v>
                </c:pt>
                <c:pt idx="68">
                  <c:v>Sep-22</c:v>
                </c:pt>
                <c:pt idx="69">
                  <c:v>Oct-22</c:v>
                </c:pt>
                <c:pt idx="70">
                  <c:v>Nov-22</c:v>
                </c:pt>
                <c:pt idx="71">
                  <c:v>Dec-22</c:v>
                </c:pt>
              </c:strCache>
            </c:strRef>
          </c:cat>
          <c:val>
            <c:numRef>
              <c:f>'Figure 1.17'!$C$2:$C$73</c:f>
              <c:numCache>
                <c:formatCode>0.0</c:formatCode>
                <c:ptCount val="72"/>
                <c:pt idx="0">
                  <c:v>7.9994964599609375</c:v>
                </c:pt>
                <c:pt idx="1">
                  <c:v>8.3263425827026367</c:v>
                </c:pt>
                <c:pt idx="2">
                  <c:v>8.462611198425293</c:v>
                </c:pt>
                <c:pt idx="3">
                  <c:v>8.5278339385986328</c:v>
                </c:pt>
                <c:pt idx="4">
                  <c:v>8.1347970962524414</c:v>
                </c:pt>
                <c:pt idx="5">
                  <c:v>7.7918415069580078</c:v>
                </c:pt>
                <c:pt idx="6">
                  <c:v>7.9922733306884766</c:v>
                </c:pt>
                <c:pt idx="7">
                  <c:v>8.3018007278442383</c:v>
                </c:pt>
                <c:pt idx="8">
                  <c:v>8.332179069519043</c:v>
                </c:pt>
                <c:pt idx="9">
                  <c:v>8.269618034362793</c:v>
                </c:pt>
                <c:pt idx="10">
                  <c:v>7.8731813430786133</c:v>
                </c:pt>
                <c:pt idx="11">
                  <c:v>7.659766674041748</c:v>
                </c:pt>
                <c:pt idx="12">
                  <c:v>7.4785728454589844</c:v>
                </c:pt>
                <c:pt idx="13">
                  <c:v>7.214271068572998</c:v>
                </c:pt>
                <c:pt idx="14">
                  <c:v>6.6918926239013672</c:v>
                </c:pt>
                <c:pt idx="15">
                  <c:v>6.2751955986022949</c:v>
                </c:pt>
                <c:pt idx="16">
                  <c:v>6.1378974914550781</c:v>
                </c:pt>
                <c:pt idx="17">
                  <c:v>6.4460830688476563</c:v>
                </c:pt>
                <c:pt idx="18">
                  <c:v>6.2435507774353027</c:v>
                </c:pt>
                <c:pt idx="19">
                  <c:v>6.3609700202941895</c:v>
                </c:pt>
                <c:pt idx="20">
                  <c:v>6.3462085723876953</c:v>
                </c:pt>
                <c:pt idx="21">
                  <c:v>6.3063173294067383</c:v>
                </c:pt>
                <c:pt idx="22">
                  <c:v>6.2454276084899902</c:v>
                </c:pt>
                <c:pt idx="23">
                  <c:v>6.195152759552002</c:v>
                </c:pt>
                <c:pt idx="24">
                  <c:v>5.9782118797302246</c:v>
                </c:pt>
                <c:pt idx="25">
                  <c:v>6.020474910736084</c:v>
                </c:pt>
                <c:pt idx="26">
                  <c:v>6.183039665222168</c:v>
                </c:pt>
                <c:pt idx="27">
                  <c:v>6.3951501846313477</c:v>
                </c:pt>
                <c:pt idx="28">
                  <c:v>6.882544994354248</c:v>
                </c:pt>
                <c:pt idx="29">
                  <c:v>6.7807741165161133</c:v>
                </c:pt>
                <c:pt idx="30">
                  <c:v>6.9385509490966797</c:v>
                </c:pt>
                <c:pt idx="31">
                  <c:v>6.954310417175293</c:v>
                </c:pt>
                <c:pt idx="32">
                  <c:v>7.1517624855041504</c:v>
                </c:pt>
                <c:pt idx="33">
                  <c:v>7.6171426773071289</c:v>
                </c:pt>
                <c:pt idx="34">
                  <c:v>8.6856517791748047</c:v>
                </c:pt>
                <c:pt idx="35">
                  <c:v>9.3426799774169922</c:v>
                </c:pt>
                <c:pt idx="36">
                  <c:v>9.5779571533203125</c:v>
                </c:pt>
                <c:pt idx="37">
                  <c:v>9.4988584518432617</c:v>
                </c:pt>
                <c:pt idx="38">
                  <c:v>9.5084972381591797</c:v>
                </c:pt>
                <c:pt idx="39">
                  <c:v>10.299167633056641</c:v>
                </c:pt>
                <c:pt idx="40">
                  <c:v>9.7400541305541992</c:v>
                </c:pt>
                <c:pt idx="41">
                  <c:v>9.9559211730957031</c:v>
                </c:pt>
                <c:pt idx="42">
                  <c:v>9.8177766799926758</c:v>
                </c:pt>
                <c:pt idx="43">
                  <c:v>9.7960309982299805</c:v>
                </c:pt>
                <c:pt idx="44">
                  <c:v>9.6696758270263672</c:v>
                </c:pt>
                <c:pt idx="45">
                  <c:v>9.8513870239257813</c:v>
                </c:pt>
                <c:pt idx="46">
                  <c:v>8.9274492263793945</c:v>
                </c:pt>
                <c:pt idx="47">
                  <c:v>8.4417905807495117</c:v>
                </c:pt>
                <c:pt idx="48">
                  <c:v>8.2381601333618164</c:v>
                </c:pt>
                <c:pt idx="49">
                  <c:v>8.7201557159423828</c:v>
                </c:pt>
                <c:pt idx="50">
                  <c:v>8.746455192565918</c:v>
                </c:pt>
                <c:pt idx="51">
                  <c:v>8.380366325378418</c:v>
                </c:pt>
                <c:pt idx="52">
                  <c:v>8.383601188659668</c:v>
                </c:pt>
                <c:pt idx="53">
                  <c:v>8.8113231658935547</c:v>
                </c:pt>
                <c:pt idx="54">
                  <c:v>9.0216274261474609</c:v>
                </c:pt>
                <c:pt idx="55">
                  <c:v>9.2714157104492188</c:v>
                </c:pt>
                <c:pt idx="56">
                  <c:v>9.521754264831543</c:v>
                </c:pt>
                <c:pt idx="57">
                  <c:v>9.1470413208007813</c:v>
                </c:pt>
                <c:pt idx="58">
                  <c:v>9.2004470825195313</c:v>
                </c:pt>
                <c:pt idx="59">
                  <c:v>9.6220626831054688</c:v>
                </c:pt>
                <c:pt idx="60">
                  <c:v>9.8372812271118164</c:v>
                </c:pt>
                <c:pt idx="61">
                  <c:v>10.055731773376465</c:v>
                </c:pt>
                <c:pt idx="62">
                  <c:v>10.814209938049316</c:v>
                </c:pt>
                <c:pt idx="63">
                  <c:v>11.283292770385742</c:v>
                </c:pt>
                <c:pt idx="64">
                  <c:v>12.201778411865234</c:v>
                </c:pt>
                <c:pt idx="65">
                  <c:v>12.814272880554199</c:v>
                </c:pt>
                <c:pt idx="66">
                  <c:v>13.464077949523926</c:v>
                </c:pt>
                <c:pt idx="67">
                  <c:v>14.151814460754395</c:v>
                </c:pt>
                <c:pt idx="68">
                  <c:v>14.248525619506836</c:v>
                </c:pt>
                <c:pt idx="69">
                  <c:v>14.799049377441406</c:v>
                </c:pt>
                <c:pt idx="70">
                  <c:v>15.199581146240234</c:v>
                </c:pt>
                <c:pt idx="71">
                  <c:v>15.007585525512695</c:v>
                </c:pt>
              </c:numCache>
            </c:numRef>
          </c:val>
          <c:smooth val="0"/>
          <c:extLst>
            <c:ext xmlns:c16="http://schemas.microsoft.com/office/drawing/2014/chart" uri="{C3380CC4-5D6E-409C-BE32-E72D297353CC}">
              <c16:uniqueId val="{00000000-ECD4-41B2-8DCD-8C376909EB94}"/>
            </c:ext>
          </c:extLst>
        </c:ser>
        <c:ser>
          <c:idx val="1"/>
          <c:order val="1"/>
          <c:tx>
            <c:v>EMs</c:v>
          </c:tx>
          <c:spPr>
            <a:ln w="28575" cap="rnd">
              <a:solidFill>
                <a:schemeClr val="accent6">
                  <a:lumMod val="75000"/>
                </a:schemeClr>
              </a:solidFill>
              <a:round/>
            </a:ln>
            <a:effectLst/>
          </c:spPr>
          <c:marker>
            <c:symbol val="none"/>
          </c:marker>
          <c:cat>
            <c:strRef>
              <c:f>'Figure 1.17'!$B$2:$B$73</c:f>
              <c:strCache>
                <c:ptCount val="72"/>
                <c:pt idx="0">
                  <c:v>Jan-2017</c:v>
                </c:pt>
                <c:pt idx="1">
                  <c:v>Feb-17</c:v>
                </c:pt>
                <c:pt idx="2">
                  <c:v>Mar-17</c:v>
                </c:pt>
                <c:pt idx="3">
                  <c:v>Apr-17</c:v>
                </c:pt>
                <c:pt idx="4">
                  <c:v>May-17</c:v>
                </c:pt>
                <c:pt idx="5">
                  <c:v>Jun-17</c:v>
                </c:pt>
                <c:pt idx="6">
                  <c:v>Jul-17</c:v>
                </c:pt>
                <c:pt idx="7">
                  <c:v>Aug-17</c:v>
                </c:pt>
                <c:pt idx="8">
                  <c:v>Sep-17</c:v>
                </c:pt>
                <c:pt idx="9">
                  <c:v>Oct-17</c:v>
                </c:pt>
                <c:pt idx="10">
                  <c:v>Nov-17</c:v>
                </c:pt>
                <c:pt idx="11">
                  <c:v>Dec-17</c:v>
                </c:pt>
                <c:pt idx="12">
                  <c:v>Jan-18</c:v>
                </c:pt>
                <c:pt idx="13">
                  <c:v>Feb-18</c:v>
                </c:pt>
                <c:pt idx="14">
                  <c:v>Mar-18</c:v>
                </c:pt>
                <c:pt idx="15">
                  <c:v>Apr-18</c:v>
                </c:pt>
                <c:pt idx="16">
                  <c:v>May-18</c:v>
                </c:pt>
                <c:pt idx="17">
                  <c:v>Jun-18</c:v>
                </c:pt>
                <c:pt idx="18">
                  <c:v>Jul-18</c:v>
                </c:pt>
                <c:pt idx="19">
                  <c:v>Aug-18</c:v>
                </c:pt>
                <c:pt idx="20">
                  <c:v>Sep-18</c:v>
                </c:pt>
                <c:pt idx="21">
                  <c:v>Oct-18</c:v>
                </c:pt>
                <c:pt idx="22">
                  <c:v>Nov-18</c:v>
                </c:pt>
                <c:pt idx="23">
                  <c:v>Dec-18</c:v>
                </c:pt>
                <c:pt idx="24">
                  <c:v>Jan-19</c:v>
                </c:pt>
                <c:pt idx="25">
                  <c:v>Feb-19</c:v>
                </c:pt>
                <c:pt idx="26">
                  <c:v>Mar-19</c:v>
                </c:pt>
                <c:pt idx="27">
                  <c:v>Apr-19</c:v>
                </c:pt>
                <c:pt idx="28">
                  <c:v>May-19</c:v>
                </c:pt>
                <c:pt idx="29">
                  <c:v>Jun-19</c:v>
                </c:pt>
                <c:pt idx="30">
                  <c:v>Jul-19</c:v>
                </c:pt>
                <c:pt idx="31">
                  <c:v>Aug-19</c:v>
                </c:pt>
                <c:pt idx="32">
                  <c:v>Sep-19</c:v>
                </c:pt>
                <c:pt idx="33">
                  <c:v>Oct-19</c:v>
                </c:pt>
                <c:pt idx="34">
                  <c:v>Nov-19</c:v>
                </c:pt>
                <c:pt idx="35">
                  <c:v>Dec-19</c:v>
                </c:pt>
                <c:pt idx="36">
                  <c:v>Jan-20</c:v>
                </c:pt>
                <c:pt idx="37">
                  <c:v>Feb-20</c:v>
                </c:pt>
                <c:pt idx="38">
                  <c:v>Mar-20</c:v>
                </c:pt>
                <c:pt idx="39">
                  <c:v>Apr-20</c:v>
                </c:pt>
                <c:pt idx="40">
                  <c:v>May-20</c:v>
                </c:pt>
                <c:pt idx="41">
                  <c:v>Jun-20</c:v>
                </c:pt>
                <c:pt idx="42">
                  <c:v>Jul-20</c:v>
                </c:pt>
                <c:pt idx="43">
                  <c:v>Aug-20</c:v>
                </c:pt>
                <c:pt idx="44">
                  <c:v>Sep-20</c:v>
                </c:pt>
                <c:pt idx="45">
                  <c:v>Oct-20</c:v>
                </c:pt>
                <c:pt idx="46">
                  <c:v>Nov-20</c:v>
                </c:pt>
                <c:pt idx="47">
                  <c:v>Dec-20</c:v>
                </c:pt>
                <c:pt idx="48">
                  <c:v>Jan-21</c:v>
                </c:pt>
                <c:pt idx="49">
                  <c:v>Feb-21</c:v>
                </c:pt>
                <c:pt idx="50">
                  <c:v>Mar-21</c:v>
                </c:pt>
                <c:pt idx="51">
                  <c:v>Apr-21</c:v>
                </c:pt>
                <c:pt idx="52">
                  <c:v>May-21</c:v>
                </c:pt>
                <c:pt idx="53">
                  <c:v>Jun-21</c:v>
                </c:pt>
                <c:pt idx="54">
                  <c:v>Jul-21</c:v>
                </c:pt>
                <c:pt idx="55">
                  <c:v>Aug-21</c:v>
                </c:pt>
                <c:pt idx="56">
                  <c:v>Sep-21</c:v>
                </c:pt>
                <c:pt idx="57">
                  <c:v>Oct-21</c:v>
                </c:pt>
                <c:pt idx="58">
                  <c:v>Nov-21</c:v>
                </c:pt>
                <c:pt idx="59">
                  <c:v>Dec-21</c:v>
                </c:pt>
                <c:pt idx="60">
                  <c:v>Jan-22</c:v>
                </c:pt>
                <c:pt idx="61">
                  <c:v>Feb-22</c:v>
                </c:pt>
                <c:pt idx="62">
                  <c:v>Mar-22</c:v>
                </c:pt>
                <c:pt idx="63">
                  <c:v>Apr-22</c:v>
                </c:pt>
                <c:pt idx="64">
                  <c:v>May-22</c:v>
                </c:pt>
                <c:pt idx="65">
                  <c:v>Jun-22</c:v>
                </c:pt>
                <c:pt idx="66">
                  <c:v>Jul-22</c:v>
                </c:pt>
                <c:pt idx="67">
                  <c:v>Aug-22</c:v>
                </c:pt>
                <c:pt idx="68">
                  <c:v>Sep-22</c:v>
                </c:pt>
                <c:pt idx="69">
                  <c:v>Oct-22</c:v>
                </c:pt>
                <c:pt idx="70">
                  <c:v>Nov-22</c:v>
                </c:pt>
                <c:pt idx="71">
                  <c:v>Dec-22</c:v>
                </c:pt>
              </c:strCache>
            </c:strRef>
          </c:cat>
          <c:val>
            <c:numRef>
              <c:f>'Figure 1.17'!$F$2:$F$73</c:f>
              <c:numCache>
                <c:formatCode>0.0</c:formatCode>
                <c:ptCount val="72"/>
                <c:pt idx="0">
                  <c:v>3.6514508724212646</c:v>
                </c:pt>
                <c:pt idx="1">
                  <c:v>0.79560649394989014</c:v>
                </c:pt>
                <c:pt idx="2">
                  <c:v>0.90833711624145508</c:v>
                </c:pt>
                <c:pt idx="3">
                  <c:v>1.2737053632736206</c:v>
                </c:pt>
                <c:pt idx="4">
                  <c:v>1.9598876237869263</c:v>
                </c:pt>
                <c:pt idx="5">
                  <c:v>1.9239155054092407</c:v>
                </c:pt>
                <c:pt idx="6">
                  <c:v>1.7576701641082764</c:v>
                </c:pt>
                <c:pt idx="7">
                  <c:v>2.2035524845123291</c:v>
                </c:pt>
                <c:pt idx="8">
                  <c:v>1.6098538637161255</c:v>
                </c:pt>
                <c:pt idx="9">
                  <c:v>2.054046630859375</c:v>
                </c:pt>
                <c:pt idx="10">
                  <c:v>1.9714277982711792</c:v>
                </c:pt>
                <c:pt idx="11">
                  <c:v>2.6925873756408691</c:v>
                </c:pt>
                <c:pt idx="12">
                  <c:v>2.3687961101531982</c:v>
                </c:pt>
                <c:pt idx="13">
                  <c:v>4.2618269920349121</c:v>
                </c:pt>
                <c:pt idx="14">
                  <c:v>3.0285947322845459</c:v>
                </c:pt>
                <c:pt idx="15">
                  <c:v>2.2813394069671631</c:v>
                </c:pt>
                <c:pt idx="16">
                  <c:v>2.0518925189971924</c:v>
                </c:pt>
                <c:pt idx="17">
                  <c:v>2.5898439884185791</c:v>
                </c:pt>
                <c:pt idx="18">
                  <c:v>2.6587462425231934</c:v>
                </c:pt>
                <c:pt idx="19">
                  <c:v>3.328458309173584</c:v>
                </c:pt>
                <c:pt idx="20">
                  <c:v>4.561274528503418</c:v>
                </c:pt>
                <c:pt idx="21">
                  <c:v>4.7047977447509766</c:v>
                </c:pt>
                <c:pt idx="22">
                  <c:v>4.307194709777832</c:v>
                </c:pt>
                <c:pt idx="23">
                  <c:v>4.2769999504089355</c:v>
                </c:pt>
                <c:pt idx="24">
                  <c:v>3.9370999336242676</c:v>
                </c:pt>
                <c:pt idx="25">
                  <c:v>3.6831357479095459</c:v>
                </c:pt>
                <c:pt idx="26">
                  <c:v>5.5782375335693359</c:v>
                </c:pt>
                <c:pt idx="27">
                  <c:v>6.6347980499267578</c:v>
                </c:pt>
                <c:pt idx="28">
                  <c:v>7.3891687393188477</c:v>
                </c:pt>
                <c:pt idx="29">
                  <c:v>7.0935993194580078</c:v>
                </c:pt>
                <c:pt idx="30">
                  <c:v>7.4499359130859375</c:v>
                </c:pt>
                <c:pt idx="31">
                  <c:v>7.6879997253417969</c:v>
                </c:pt>
                <c:pt idx="32">
                  <c:v>7.9765229225158691</c:v>
                </c:pt>
                <c:pt idx="33">
                  <c:v>9.5691261291503906</c:v>
                </c:pt>
                <c:pt idx="34">
                  <c:v>11.075431823730469</c:v>
                </c:pt>
                <c:pt idx="35">
                  <c:v>10.944892883300781</c:v>
                </c:pt>
                <c:pt idx="36">
                  <c:v>12.536205291748047</c:v>
                </c:pt>
                <c:pt idx="37">
                  <c:v>12.917453765869141</c:v>
                </c:pt>
                <c:pt idx="38">
                  <c:v>11.435676574707031</c:v>
                </c:pt>
                <c:pt idx="39">
                  <c:v>10.399785995483398</c:v>
                </c:pt>
                <c:pt idx="40">
                  <c:v>8.4124155044555664</c:v>
                </c:pt>
                <c:pt idx="41">
                  <c:v>8.6019248962402344</c:v>
                </c:pt>
                <c:pt idx="42">
                  <c:v>9.5902519226074219</c:v>
                </c:pt>
                <c:pt idx="43">
                  <c:v>8.7696142196655273</c:v>
                </c:pt>
                <c:pt idx="44">
                  <c:v>7.614163875579834</c:v>
                </c:pt>
                <c:pt idx="45">
                  <c:v>5.4159107208251953</c:v>
                </c:pt>
                <c:pt idx="46">
                  <c:v>3.584550142288208</c:v>
                </c:pt>
                <c:pt idx="47">
                  <c:v>4.6137676239013672</c:v>
                </c:pt>
                <c:pt idx="48">
                  <c:v>4.3120169639587402</c:v>
                </c:pt>
                <c:pt idx="49">
                  <c:v>3.1852090358734131</c:v>
                </c:pt>
                <c:pt idx="50">
                  <c:v>3.2170226573944092</c:v>
                </c:pt>
                <c:pt idx="51">
                  <c:v>3.2240452766418457</c:v>
                </c:pt>
                <c:pt idx="52">
                  <c:v>4.5497479438781738</c:v>
                </c:pt>
                <c:pt idx="53">
                  <c:v>3.5660204887390137</c:v>
                </c:pt>
                <c:pt idx="54">
                  <c:v>2.0683591365814209</c:v>
                </c:pt>
                <c:pt idx="55">
                  <c:v>2.0239884853363037</c:v>
                </c:pt>
                <c:pt idx="56">
                  <c:v>1.5047974586486816</c:v>
                </c:pt>
                <c:pt idx="57">
                  <c:v>3.1881511211395264</c:v>
                </c:pt>
                <c:pt idx="58">
                  <c:v>5.5397124290466309</c:v>
                </c:pt>
                <c:pt idx="59">
                  <c:v>4.4879951477050781</c:v>
                </c:pt>
                <c:pt idx="60">
                  <c:v>4.1854214668273926</c:v>
                </c:pt>
                <c:pt idx="61">
                  <c:v>4.6682171821594238</c:v>
                </c:pt>
                <c:pt idx="62">
                  <c:v>6.8618149757385254</c:v>
                </c:pt>
                <c:pt idx="63">
                  <c:v>9.5298032760620117</c:v>
                </c:pt>
                <c:pt idx="64">
                  <c:v>9.9383306503295898</c:v>
                </c:pt>
                <c:pt idx="65">
                  <c:v>10.729656219482422</c:v>
                </c:pt>
                <c:pt idx="66">
                  <c:v>12.507658958435059</c:v>
                </c:pt>
                <c:pt idx="67">
                  <c:v>12.427997589111328</c:v>
                </c:pt>
                <c:pt idx="68">
                  <c:v>13.468091011047363</c:v>
                </c:pt>
                <c:pt idx="69">
                  <c:v>12.676676750183105</c:v>
                </c:pt>
                <c:pt idx="70">
                  <c:v>11.005669593811035</c:v>
                </c:pt>
                <c:pt idx="71">
                  <c:v>11.074291229248047</c:v>
                </c:pt>
              </c:numCache>
            </c:numRef>
          </c:val>
          <c:smooth val="0"/>
          <c:extLst>
            <c:ext xmlns:c16="http://schemas.microsoft.com/office/drawing/2014/chart" uri="{C3380CC4-5D6E-409C-BE32-E72D297353CC}">
              <c16:uniqueId val="{00000001-ECD4-41B2-8DCD-8C376909EB94}"/>
            </c:ext>
          </c:extLst>
        </c:ser>
        <c:ser>
          <c:idx val="2"/>
          <c:order val="2"/>
          <c:tx>
            <c:v>AEs</c:v>
          </c:tx>
          <c:spPr>
            <a:ln w="28575" cap="rnd">
              <a:solidFill>
                <a:schemeClr val="accent1"/>
              </a:solidFill>
              <a:round/>
            </a:ln>
            <a:effectLst/>
          </c:spPr>
          <c:marker>
            <c:symbol val="none"/>
          </c:marker>
          <c:cat>
            <c:strRef>
              <c:f>'Figure 1.17'!$B$2:$B$73</c:f>
              <c:strCache>
                <c:ptCount val="72"/>
                <c:pt idx="0">
                  <c:v>Jan-2017</c:v>
                </c:pt>
                <c:pt idx="1">
                  <c:v>Feb-17</c:v>
                </c:pt>
                <c:pt idx="2">
                  <c:v>Mar-17</c:v>
                </c:pt>
                <c:pt idx="3">
                  <c:v>Apr-17</c:v>
                </c:pt>
                <c:pt idx="4">
                  <c:v>May-17</c:v>
                </c:pt>
                <c:pt idx="5">
                  <c:v>Jun-17</c:v>
                </c:pt>
                <c:pt idx="6">
                  <c:v>Jul-17</c:v>
                </c:pt>
                <c:pt idx="7">
                  <c:v>Aug-17</c:v>
                </c:pt>
                <c:pt idx="8">
                  <c:v>Sep-17</c:v>
                </c:pt>
                <c:pt idx="9">
                  <c:v>Oct-17</c:v>
                </c:pt>
                <c:pt idx="10">
                  <c:v>Nov-17</c:v>
                </c:pt>
                <c:pt idx="11">
                  <c:v>Dec-17</c:v>
                </c:pt>
                <c:pt idx="12">
                  <c:v>Jan-18</c:v>
                </c:pt>
                <c:pt idx="13">
                  <c:v>Feb-18</c:v>
                </c:pt>
                <c:pt idx="14">
                  <c:v>Mar-18</c:v>
                </c:pt>
                <c:pt idx="15">
                  <c:v>Apr-18</c:v>
                </c:pt>
                <c:pt idx="16">
                  <c:v>May-18</c:v>
                </c:pt>
                <c:pt idx="17">
                  <c:v>Jun-18</c:v>
                </c:pt>
                <c:pt idx="18">
                  <c:v>Jul-18</c:v>
                </c:pt>
                <c:pt idx="19">
                  <c:v>Aug-18</c:v>
                </c:pt>
                <c:pt idx="20">
                  <c:v>Sep-18</c:v>
                </c:pt>
                <c:pt idx="21">
                  <c:v>Oct-18</c:v>
                </c:pt>
                <c:pt idx="22">
                  <c:v>Nov-18</c:v>
                </c:pt>
                <c:pt idx="23">
                  <c:v>Dec-18</c:v>
                </c:pt>
                <c:pt idx="24">
                  <c:v>Jan-19</c:v>
                </c:pt>
                <c:pt idx="25">
                  <c:v>Feb-19</c:v>
                </c:pt>
                <c:pt idx="26">
                  <c:v>Mar-19</c:v>
                </c:pt>
                <c:pt idx="27">
                  <c:v>Apr-19</c:v>
                </c:pt>
                <c:pt idx="28">
                  <c:v>May-19</c:v>
                </c:pt>
                <c:pt idx="29">
                  <c:v>Jun-19</c:v>
                </c:pt>
                <c:pt idx="30">
                  <c:v>Jul-19</c:v>
                </c:pt>
                <c:pt idx="31">
                  <c:v>Aug-19</c:v>
                </c:pt>
                <c:pt idx="32">
                  <c:v>Sep-19</c:v>
                </c:pt>
                <c:pt idx="33">
                  <c:v>Oct-19</c:v>
                </c:pt>
                <c:pt idx="34">
                  <c:v>Nov-19</c:v>
                </c:pt>
                <c:pt idx="35">
                  <c:v>Dec-19</c:v>
                </c:pt>
                <c:pt idx="36">
                  <c:v>Jan-20</c:v>
                </c:pt>
                <c:pt idx="37">
                  <c:v>Feb-20</c:v>
                </c:pt>
                <c:pt idx="38">
                  <c:v>Mar-20</c:v>
                </c:pt>
                <c:pt idx="39">
                  <c:v>Apr-20</c:v>
                </c:pt>
                <c:pt idx="40">
                  <c:v>May-20</c:v>
                </c:pt>
                <c:pt idx="41">
                  <c:v>Jun-20</c:v>
                </c:pt>
                <c:pt idx="42">
                  <c:v>Jul-20</c:v>
                </c:pt>
                <c:pt idx="43">
                  <c:v>Aug-20</c:v>
                </c:pt>
                <c:pt idx="44">
                  <c:v>Sep-20</c:v>
                </c:pt>
                <c:pt idx="45">
                  <c:v>Oct-20</c:v>
                </c:pt>
                <c:pt idx="46">
                  <c:v>Nov-20</c:v>
                </c:pt>
                <c:pt idx="47">
                  <c:v>Dec-20</c:v>
                </c:pt>
                <c:pt idx="48">
                  <c:v>Jan-21</c:v>
                </c:pt>
                <c:pt idx="49">
                  <c:v>Feb-21</c:v>
                </c:pt>
                <c:pt idx="50">
                  <c:v>Mar-21</c:v>
                </c:pt>
                <c:pt idx="51">
                  <c:v>Apr-21</c:v>
                </c:pt>
                <c:pt idx="52">
                  <c:v>May-21</c:v>
                </c:pt>
                <c:pt idx="53">
                  <c:v>Jun-21</c:v>
                </c:pt>
                <c:pt idx="54">
                  <c:v>Jul-21</c:v>
                </c:pt>
                <c:pt idx="55">
                  <c:v>Aug-21</c:v>
                </c:pt>
                <c:pt idx="56">
                  <c:v>Sep-21</c:v>
                </c:pt>
                <c:pt idx="57">
                  <c:v>Oct-21</c:v>
                </c:pt>
                <c:pt idx="58">
                  <c:v>Nov-21</c:v>
                </c:pt>
                <c:pt idx="59">
                  <c:v>Dec-21</c:v>
                </c:pt>
                <c:pt idx="60">
                  <c:v>Jan-22</c:v>
                </c:pt>
                <c:pt idx="61">
                  <c:v>Feb-22</c:v>
                </c:pt>
                <c:pt idx="62">
                  <c:v>Mar-22</c:v>
                </c:pt>
                <c:pt idx="63">
                  <c:v>Apr-22</c:v>
                </c:pt>
                <c:pt idx="64">
                  <c:v>May-22</c:v>
                </c:pt>
                <c:pt idx="65">
                  <c:v>Jun-22</c:v>
                </c:pt>
                <c:pt idx="66">
                  <c:v>Jul-22</c:v>
                </c:pt>
                <c:pt idx="67">
                  <c:v>Aug-22</c:v>
                </c:pt>
                <c:pt idx="68">
                  <c:v>Sep-22</c:v>
                </c:pt>
                <c:pt idx="69">
                  <c:v>Oct-22</c:v>
                </c:pt>
                <c:pt idx="70">
                  <c:v>Nov-22</c:v>
                </c:pt>
                <c:pt idx="71">
                  <c:v>Dec-22</c:v>
                </c:pt>
              </c:strCache>
            </c:strRef>
          </c:cat>
          <c:val>
            <c:numRef>
              <c:f>'Figure 1.17'!$I$2:$I$73</c:f>
              <c:numCache>
                <c:formatCode>0.0</c:formatCode>
                <c:ptCount val="72"/>
                <c:pt idx="0">
                  <c:v>8.7890289723873138E-2</c:v>
                </c:pt>
                <c:pt idx="1">
                  <c:v>0.18556690216064453</c:v>
                </c:pt>
                <c:pt idx="2">
                  <c:v>0.30451399087905884</c:v>
                </c:pt>
                <c:pt idx="3">
                  <c:v>0.23356615006923676</c:v>
                </c:pt>
                <c:pt idx="4">
                  <c:v>0.69524741172790527</c:v>
                </c:pt>
                <c:pt idx="5">
                  <c:v>0.82267129421234131</c:v>
                </c:pt>
                <c:pt idx="6">
                  <c:v>0.97081565856933594</c:v>
                </c:pt>
                <c:pt idx="7">
                  <c:v>1.0667977333068848</c:v>
                </c:pt>
                <c:pt idx="8">
                  <c:v>1.199566125869751</c:v>
                </c:pt>
                <c:pt idx="9">
                  <c:v>1.1733722686767578</c:v>
                </c:pt>
                <c:pt idx="10">
                  <c:v>1.1692605018615723</c:v>
                </c:pt>
                <c:pt idx="11">
                  <c:v>1.4834837913513184</c:v>
                </c:pt>
                <c:pt idx="12">
                  <c:v>1.5709190368652344</c:v>
                </c:pt>
                <c:pt idx="13">
                  <c:v>1.0587215423583984</c:v>
                </c:pt>
                <c:pt idx="14">
                  <c:v>1.1227887868881226</c:v>
                </c:pt>
                <c:pt idx="15">
                  <c:v>1.2650530338287354</c:v>
                </c:pt>
                <c:pt idx="16">
                  <c:v>1.0394976139068604</c:v>
                </c:pt>
                <c:pt idx="17">
                  <c:v>1.1346615552902222</c:v>
                </c:pt>
                <c:pt idx="18">
                  <c:v>1.1558781862258911</c:v>
                </c:pt>
                <c:pt idx="19">
                  <c:v>1.3452451229095459</c:v>
                </c:pt>
                <c:pt idx="20">
                  <c:v>1.4366586208343506</c:v>
                </c:pt>
                <c:pt idx="21">
                  <c:v>1.1567414999008179</c:v>
                </c:pt>
                <c:pt idx="22">
                  <c:v>0.9767909049987793</c:v>
                </c:pt>
                <c:pt idx="23">
                  <c:v>0.89962494373321533</c:v>
                </c:pt>
                <c:pt idx="24">
                  <c:v>0.84703588485717773</c:v>
                </c:pt>
                <c:pt idx="25">
                  <c:v>1.2272810935974121</c:v>
                </c:pt>
                <c:pt idx="26">
                  <c:v>1.3519777059555054</c:v>
                </c:pt>
                <c:pt idx="27">
                  <c:v>1.0565395355224609</c:v>
                </c:pt>
                <c:pt idx="28">
                  <c:v>1.3570809364318848</c:v>
                </c:pt>
                <c:pt idx="29">
                  <c:v>1.4262359142303467</c:v>
                </c:pt>
                <c:pt idx="30">
                  <c:v>1.3187884092330933</c:v>
                </c:pt>
                <c:pt idx="31">
                  <c:v>1.1338527202606201</c:v>
                </c:pt>
                <c:pt idx="32">
                  <c:v>0.92870759963989258</c:v>
                </c:pt>
                <c:pt idx="33">
                  <c:v>1.2093824148178101</c:v>
                </c:pt>
                <c:pt idx="34">
                  <c:v>1.4108588695526123</c:v>
                </c:pt>
                <c:pt idx="35">
                  <c:v>1.3420841693878174</c:v>
                </c:pt>
                <c:pt idx="36">
                  <c:v>1.3954834938049316</c:v>
                </c:pt>
                <c:pt idx="37">
                  <c:v>1.3451303243637085</c:v>
                </c:pt>
                <c:pt idx="38">
                  <c:v>1.7110379934310913</c:v>
                </c:pt>
                <c:pt idx="39">
                  <c:v>3.5091133117675781</c:v>
                </c:pt>
                <c:pt idx="40">
                  <c:v>3.749295711517334</c:v>
                </c:pt>
                <c:pt idx="41">
                  <c:v>3.8754441738128662</c:v>
                </c:pt>
                <c:pt idx="42">
                  <c:v>3.0387892723083496</c:v>
                </c:pt>
                <c:pt idx="43">
                  <c:v>2.9954609870910645</c:v>
                </c:pt>
                <c:pt idx="44">
                  <c:v>2.5747849941253662</c:v>
                </c:pt>
                <c:pt idx="45">
                  <c:v>2.6497623920440674</c:v>
                </c:pt>
                <c:pt idx="46">
                  <c:v>2.265312671661377</c:v>
                </c:pt>
                <c:pt idx="47">
                  <c:v>2.0395519733428955</c:v>
                </c:pt>
                <c:pt idx="48">
                  <c:v>2.0854566097259521</c:v>
                </c:pt>
                <c:pt idx="49">
                  <c:v>2.0875630378723145</c:v>
                </c:pt>
                <c:pt idx="50">
                  <c:v>1.8036549091339111</c:v>
                </c:pt>
                <c:pt idx="51">
                  <c:v>0.64203721284866333</c:v>
                </c:pt>
                <c:pt idx="52">
                  <c:v>0.38939553499221802</c:v>
                </c:pt>
                <c:pt idx="53">
                  <c:v>0.62653940916061401</c:v>
                </c:pt>
                <c:pt idx="54">
                  <c:v>1.6765463352203369</c:v>
                </c:pt>
                <c:pt idx="55">
                  <c:v>2.0395381450653076</c:v>
                </c:pt>
                <c:pt idx="56">
                  <c:v>2.9508998394012451</c:v>
                </c:pt>
                <c:pt idx="57">
                  <c:v>3.2222602367401123</c:v>
                </c:pt>
                <c:pt idx="58">
                  <c:v>4.0976743698120117</c:v>
                </c:pt>
                <c:pt idx="59">
                  <c:v>4.7208247184753418</c:v>
                </c:pt>
                <c:pt idx="60">
                  <c:v>5.3329401016235352</c:v>
                </c:pt>
                <c:pt idx="61">
                  <c:v>6.2855725288391113</c:v>
                </c:pt>
                <c:pt idx="62">
                  <c:v>7.3895373344421387</c:v>
                </c:pt>
                <c:pt idx="63">
                  <c:v>8.3973169326782227</c:v>
                </c:pt>
                <c:pt idx="64">
                  <c:v>9.5719385147094727</c:v>
                </c:pt>
                <c:pt idx="65">
                  <c:v>10.205886840820313</c:v>
                </c:pt>
                <c:pt idx="66">
                  <c:v>11.325146675109863</c:v>
                </c:pt>
                <c:pt idx="67">
                  <c:v>11.811222076416016</c:v>
                </c:pt>
                <c:pt idx="68">
                  <c:v>11.994608879089355</c:v>
                </c:pt>
                <c:pt idx="69">
                  <c:v>12.483351707458496</c:v>
                </c:pt>
                <c:pt idx="70">
                  <c:v>12.402841567993164</c:v>
                </c:pt>
                <c:pt idx="71">
                  <c:v>12.392772674560547</c:v>
                </c:pt>
              </c:numCache>
            </c:numRef>
          </c:val>
          <c:smooth val="0"/>
          <c:extLst>
            <c:ext xmlns:c16="http://schemas.microsoft.com/office/drawing/2014/chart" uri="{C3380CC4-5D6E-409C-BE32-E72D297353CC}">
              <c16:uniqueId val="{00000002-ECD4-41B2-8DCD-8C376909EB94}"/>
            </c:ext>
          </c:extLst>
        </c:ser>
        <c:dLbls>
          <c:showLegendKey val="0"/>
          <c:showVal val="0"/>
          <c:showCatName val="0"/>
          <c:showSerName val="0"/>
          <c:showPercent val="0"/>
          <c:showBubbleSize val="0"/>
        </c:dLbls>
        <c:smooth val="0"/>
        <c:axId val="1548099775"/>
        <c:axId val="1"/>
      </c:lineChart>
      <c:catAx>
        <c:axId val="1548099775"/>
        <c:scaling>
          <c:orientation val="minMax"/>
        </c:scaling>
        <c:delete val="0"/>
        <c:axPos val="b"/>
        <c:numFmt formatCode="m/yyyy" sourceLinked="0"/>
        <c:majorTickMark val="in"/>
        <c:minorTickMark val="none"/>
        <c:tickLblPos val="nextTo"/>
        <c:spPr>
          <a:noFill/>
          <a:ln w="9525" cap="flat" cmpd="sng" algn="ctr">
            <a:solidFill>
              <a:schemeClr val="tx1"/>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in"/>
        <c:minorTickMark val="none"/>
        <c:tickLblPos val="nextTo"/>
        <c:spPr>
          <a:noFill/>
          <a:ln>
            <a:solidFill>
              <a:schemeClr val="tx1"/>
            </a:solidFill>
          </a:ln>
          <a:effectLst/>
        </c:spPr>
        <c:txPr>
          <a:bodyPr rot="-60000000" vert="horz"/>
          <a:lstStyle/>
          <a:p>
            <a:pPr>
              <a:defRPr/>
            </a:pPr>
            <a:endParaRPr lang="en-US"/>
          </a:p>
        </c:txPr>
        <c:crossAx val="1548099775"/>
        <c:crosses val="autoZero"/>
        <c:crossBetween val="between"/>
      </c:valAx>
      <c:spPr>
        <a:noFill/>
        <a:ln w="25400">
          <a:noFill/>
        </a:ln>
      </c:spPr>
    </c:plotArea>
    <c:legend>
      <c:legendPos val="b"/>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561152408067"/>
          <c:y val="5.8145927874406034E-2"/>
          <c:w val="0.56898341474701675"/>
          <c:h val="0.63232437503563876"/>
        </c:manualLayout>
      </c:layout>
      <c:lineChart>
        <c:grouping val="standard"/>
        <c:varyColors val="0"/>
        <c:ser>
          <c:idx val="0"/>
          <c:order val="0"/>
          <c:spPr>
            <a:ln w="28575" cap="rnd">
              <a:noFill/>
              <a:round/>
            </a:ln>
            <a:effectLst/>
          </c:spPr>
          <c:marker>
            <c:symbol val="dash"/>
            <c:size val="4"/>
            <c:spPr>
              <a:solidFill>
                <a:schemeClr val="tx1"/>
              </a:solidFill>
              <a:ln w="0">
                <a:solidFill>
                  <a:schemeClr val="tx1"/>
                </a:solidFill>
              </a:ln>
              <a:effectLst/>
            </c:spPr>
          </c:marker>
          <c:cat>
            <c:multiLvlStrRef>
              <c:f>'Figure 1.18'!$A$3:$B$13</c:f>
              <c:multiLvlStrCache>
                <c:ptCount val="11"/>
                <c:lvl>
                  <c:pt idx="0">
                    <c:v>Both</c:v>
                  </c:pt>
                  <c:pt idx="1">
                    <c:v>Energy</c:v>
                  </c:pt>
                  <c:pt idx="2">
                    <c:v>Food</c:v>
                  </c:pt>
                  <c:pt idx="4">
                    <c:v>Both</c:v>
                  </c:pt>
                  <c:pt idx="5">
                    <c:v>Energy</c:v>
                  </c:pt>
                  <c:pt idx="6">
                    <c:v>Food</c:v>
                  </c:pt>
                  <c:pt idx="8">
                    <c:v>Both</c:v>
                  </c:pt>
                  <c:pt idx="9">
                    <c:v>Energy</c:v>
                  </c:pt>
                  <c:pt idx="10">
                    <c:v>Food</c:v>
                  </c:pt>
                </c:lvl>
                <c:lvl>
                  <c:pt idx="0">
                    <c:v>   AEs       </c:v>
                  </c:pt>
                  <c:pt idx="4">
                    <c:v>    EMEs       </c:v>
                  </c:pt>
                  <c:pt idx="8">
                    <c:v>  LIDCs</c:v>
                  </c:pt>
                </c:lvl>
              </c:multiLvlStrCache>
            </c:multiLvlStrRef>
          </c:cat>
          <c:val>
            <c:numRef>
              <c:f>'Figure 1.18'!$C$3:$C$13</c:f>
              <c:numCache>
                <c:formatCode>0.00</c:formatCode>
                <c:ptCount val="11"/>
                <c:pt idx="0">
                  <c:v>2.780699E-2</c:v>
                </c:pt>
                <c:pt idx="1">
                  <c:v>0.2</c:v>
                </c:pt>
                <c:pt idx="2">
                  <c:v>1.34E-2</c:v>
                </c:pt>
                <c:pt idx="4">
                  <c:v>0.03</c:v>
                </c:pt>
                <c:pt idx="5">
                  <c:v>0.15</c:v>
                </c:pt>
                <c:pt idx="6">
                  <c:v>4.4999999999999998E-2</c:v>
                </c:pt>
                <c:pt idx="8">
                  <c:v>5.0000000000000001E-3</c:v>
                </c:pt>
                <c:pt idx="9">
                  <c:v>0.1</c:v>
                </c:pt>
                <c:pt idx="10">
                  <c:v>0.1</c:v>
                </c:pt>
              </c:numCache>
            </c:numRef>
          </c:val>
          <c:smooth val="0"/>
          <c:extLst>
            <c:ext xmlns:c16="http://schemas.microsoft.com/office/drawing/2014/chart" uri="{C3380CC4-5D6E-409C-BE32-E72D297353CC}">
              <c16:uniqueId val="{00000000-955A-44EF-AA33-0B1351E1ACED}"/>
            </c:ext>
          </c:extLst>
        </c:ser>
        <c:ser>
          <c:idx val="1"/>
          <c:order val="1"/>
          <c:spPr>
            <a:ln w="28575" cap="rnd">
              <a:noFill/>
              <a:round/>
            </a:ln>
            <a:effectLst/>
          </c:spPr>
          <c:marker>
            <c:symbol val="dash"/>
            <c:size val="4"/>
            <c:spPr>
              <a:solidFill>
                <a:schemeClr val="tx1"/>
              </a:solidFill>
              <a:ln w="0">
                <a:solidFill>
                  <a:schemeClr val="tx1"/>
                </a:solidFill>
              </a:ln>
              <a:effectLst/>
            </c:spPr>
          </c:marker>
          <c:cat>
            <c:multiLvlStrRef>
              <c:f>'Figure 1.18'!$A$3:$B$13</c:f>
              <c:multiLvlStrCache>
                <c:ptCount val="11"/>
                <c:lvl>
                  <c:pt idx="0">
                    <c:v>Both</c:v>
                  </c:pt>
                  <c:pt idx="1">
                    <c:v>Energy</c:v>
                  </c:pt>
                  <c:pt idx="2">
                    <c:v>Food</c:v>
                  </c:pt>
                  <c:pt idx="4">
                    <c:v>Both</c:v>
                  </c:pt>
                  <c:pt idx="5">
                    <c:v>Energy</c:v>
                  </c:pt>
                  <c:pt idx="6">
                    <c:v>Food</c:v>
                  </c:pt>
                  <c:pt idx="8">
                    <c:v>Both</c:v>
                  </c:pt>
                  <c:pt idx="9">
                    <c:v>Energy</c:v>
                  </c:pt>
                  <c:pt idx="10">
                    <c:v>Food</c:v>
                  </c:pt>
                </c:lvl>
                <c:lvl>
                  <c:pt idx="0">
                    <c:v>   AEs       </c:v>
                  </c:pt>
                  <c:pt idx="4">
                    <c:v>    EMEs       </c:v>
                  </c:pt>
                  <c:pt idx="8">
                    <c:v>  LIDCs</c:v>
                  </c:pt>
                </c:lvl>
              </c:multiLvlStrCache>
            </c:multiLvlStrRef>
          </c:cat>
          <c:val>
            <c:numRef>
              <c:f>'Figure 1.18'!$D$3:$D$13</c:f>
              <c:numCache>
                <c:formatCode>0.00</c:formatCode>
                <c:ptCount val="11"/>
                <c:pt idx="0">
                  <c:v>0.61093251999999998</c:v>
                </c:pt>
                <c:pt idx="1">
                  <c:v>3.024</c:v>
                </c:pt>
                <c:pt idx="2">
                  <c:v>8.7048310000000004E-2</c:v>
                </c:pt>
                <c:pt idx="4">
                  <c:v>0.3</c:v>
                </c:pt>
                <c:pt idx="5">
                  <c:v>1.3330200000000001</c:v>
                </c:pt>
                <c:pt idx="6">
                  <c:v>0.34499999999999997</c:v>
                </c:pt>
                <c:pt idx="8">
                  <c:v>0.25410106999999998</c:v>
                </c:pt>
                <c:pt idx="9">
                  <c:v>1.2983684</c:v>
                </c:pt>
                <c:pt idx="10">
                  <c:v>0.86729774000000004</c:v>
                </c:pt>
              </c:numCache>
            </c:numRef>
          </c:val>
          <c:smooth val="0"/>
          <c:extLst>
            <c:ext xmlns:c16="http://schemas.microsoft.com/office/drawing/2014/chart" uri="{C3380CC4-5D6E-409C-BE32-E72D297353CC}">
              <c16:uniqueId val="{00000001-955A-44EF-AA33-0B1351E1ACED}"/>
            </c:ext>
          </c:extLst>
        </c:ser>
        <c:dLbls>
          <c:showLegendKey val="0"/>
          <c:showVal val="0"/>
          <c:showCatName val="0"/>
          <c:showSerName val="0"/>
          <c:showPercent val="0"/>
          <c:showBubbleSize val="0"/>
        </c:dLbls>
        <c:hiLowLines>
          <c:spPr>
            <a:ln w="12700" cap="flat" cmpd="sng" algn="ctr">
              <a:solidFill>
                <a:schemeClr val="tx1">
                  <a:lumMod val="75000"/>
                  <a:lumOff val="25000"/>
                </a:schemeClr>
              </a:solidFill>
              <a:round/>
            </a:ln>
            <a:effectLst/>
          </c:spPr>
        </c:hiLowLines>
        <c:marker val="1"/>
        <c:smooth val="0"/>
        <c:axId val="2045945631"/>
        <c:axId val="2045936479"/>
      </c:lineChart>
      <c:scatterChart>
        <c:scatterStyle val="lineMarker"/>
        <c:varyColors val="0"/>
        <c:ser>
          <c:idx val="2"/>
          <c:order val="2"/>
          <c:spPr>
            <a:ln w="25400" cap="rnd">
              <a:noFill/>
              <a:round/>
            </a:ln>
            <a:effectLst/>
          </c:spPr>
          <c:marker>
            <c:symbol val="circle"/>
            <c:size val="5"/>
            <c:spPr>
              <a:solidFill>
                <a:schemeClr val="tx1"/>
              </a:solidFill>
              <a:ln w="9525">
                <a:solidFill>
                  <a:schemeClr val="tx1"/>
                </a:solidFill>
              </a:ln>
              <a:effectLst/>
            </c:spPr>
          </c:marker>
          <c:dPt>
            <c:idx val="0"/>
            <c:marker>
              <c:symbol val="circle"/>
              <c:size val="4"/>
              <c:spPr>
                <a:solidFill>
                  <a:schemeClr val="tx1"/>
                </a:solidFill>
                <a:ln w="9525">
                  <a:solidFill>
                    <a:schemeClr val="tx1"/>
                  </a:solidFill>
                </a:ln>
                <a:effectLst/>
              </c:spPr>
            </c:marker>
            <c:bubble3D val="0"/>
            <c:extLst>
              <c:ext xmlns:c16="http://schemas.microsoft.com/office/drawing/2014/chart" uri="{C3380CC4-5D6E-409C-BE32-E72D297353CC}">
                <c16:uniqueId val="{00000002-955A-44EF-AA33-0B1351E1ACED}"/>
              </c:ext>
            </c:extLst>
          </c:dPt>
          <c:dPt>
            <c:idx val="1"/>
            <c:marker>
              <c:symbol val="circle"/>
              <c:size val="8"/>
              <c:spPr>
                <a:solidFill>
                  <a:schemeClr val="tx1"/>
                </a:solidFill>
                <a:ln w="9525">
                  <a:solidFill>
                    <a:schemeClr val="tx1"/>
                  </a:solidFill>
                </a:ln>
                <a:effectLst/>
              </c:spPr>
            </c:marker>
            <c:bubble3D val="0"/>
            <c:extLst>
              <c:ext xmlns:c16="http://schemas.microsoft.com/office/drawing/2014/chart" uri="{C3380CC4-5D6E-409C-BE32-E72D297353CC}">
                <c16:uniqueId val="{00000003-955A-44EF-AA33-0B1351E1ACED}"/>
              </c:ext>
            </c:extLst>
          </c:dPt>
          <c:dPt>
            <c:idx val="2"/>
            <c:marker>
              <c:symbol val="circle"/>
              <c:size val="2"/>
              <c:spPr>
                <a:solidFill>
                  <a:schemeClr val="tx1"/>
                </a:solidFill>
                <a:ln w="9525">
                  <a:solidFill>
                    <a:schemeClr val="tx1"/>
                  </a:solidFill>
                </a:ln>
                <a:effectLst/>
              </c:spPr>
            </c:marker>
            <c:bubble3D val="0"/>
            <c:extLst>
              <c:ext xmlns:c16="http://schemas.microsoft.com/office/drawing/2014/chart" uri="{C3380CC4-5D6E-409C-BE32-E72D297353CC}">
                <c16:uniqueId val="{00000004-955A-44EF-AA33-0B1351E1ACED}"/>
              </c:ext>
            </c:extLst>
          </c:dPt>
          <c:dPt>
            <c:idx val="4"/>
            <c:marker>
              <c:symbol val="circle"/>
              <c:size val="2"/>
              <c:spPr>
                <a:solidFill>
                  <a:schemeClr val="tx1"/>
                </a:solidFill>
                <a:ln w="9525">
                  <a:solidFill>
                    <a:schemeClr val="tx1"/>
                  </a:solidFill>
                </a:ln>
                <a:effectLst/>
              </c:spPr>
            </c:marker>
            <c:bubble3D val="0"/>
            <c:extLst>
              <c:ext xmlns:c16="http://schemas.microsoft.com/office/drawing/2014/chart" uri="{C3380CC4-5D6E-409C-BE32-E72D297353CC}">
                <c16:uniqueId val="{00000005-955A-44EF-AA33-0B1351E1ACED}"/>
              </c:ext>
            </c:extLst>
          </c:dPt>
          <c:dPt>
            <c:idx val="5"/>
            <c:marker>
              <c:symbol val="circle"/>
              <c:size val="4"/>
              <c:spPr>
                <a:solidFill>
                  <a:schemeClr val="tx1"/>
                </a:solidFill>
                <a:ln w="9525">
                  <a:solidFill>
                    <a:schemeClr val="tx1"/>
                  </a:solidFill>
                </a:ln>
                <a:effectLst/>
              </c:spPr>
            </c:marker>
            <c:bubble3D val="0"/>
            <c:extLst>
              <c:ext xmlns:c16="http://schemas.microsoft.com/office/drawing/2014/chart" uri="{C3380CC4-5D6E-409C-BE32-E72D297353CC}">
                <c16:uniqueId val="{00000006-955A-44EF-AA33-0B1351E1ACED}"/>
              </c:ext>
            </c:extLst>
          </c:dPt>
          <c:dPt>
            <c:idx val="6"/>
            <c:marker>
              <c:symbol val="circle"/>
              <c:size val="4"/>
              <c:spPr>
                <a:solidFill>
                  <a:schemeClr val="tx1"/>
                </a:solidFill>
                <a:ln w="9525">
                  <a:solidFill>
                    <a:schemeClr val="tx1"/>
                  </a:solidFill>
                </a:ln>
                <a:effectLst/>
              </c:spPr>
            </c:marker>
            <c:bubble3D val="0"/>
            <c:extLst>
              <c:ext xmlns:c16="http://schemas.microsoft.com/office/drawing/2014/chart" uri="{C3380CC4-5D6E-409C-BE32-E72D297353CC}">
                <c16:uniqueId val="{00000007-955A-44EF-AA33-0B1351E1ACED}"/>
              </c:ext>
            </c:extLst>
          </c:dPt>
          <c:dPt>
            <c:idx val="8"/>
            <c:marker>
              <c:symbol val="circle"/>
              <c:size val="2"/>
              <c:spPr>
                <a:solidFill>
                  <a:schemeClr val="tx1"/>
                </a:solidFill>
                <a:ln w="9525">
                  <a:solidFill>
                    <a:schemeClr val="tx1"/>
                  </a:solidFill>
                </a:ln>
                <a:effectLst/>
              </c:spPr>
            </c:marker>
            <c:bubble3D val="0"/>
            <c:extLst>
              <c:ext xmlns:c16="http://schemas.microsoft.com/office/drawing/2014/chart" uri="{C3380CC4-5D6E-409C-BE32-E72D297353CC}">
                <c16:uniqueId val="{00000008-955A-44EF-AA33-0B1351E1ACED}"/>
              </c:ext>
            </c:extLst>
          </c:dPt>
          <c:dPt>
            <c:idx val="9"/>
            <c:marker>
              <c:symbol val="circle"/>
              <c:size val="2"/>
              <c:spPr>
                <a:solidFill>
                  <a:schemeClr val="tx1"/>
                </a:solidFill>
                <a:ln w="9525">
                  <a:solidFill>
                    <a:schemeClr val="tx1"/>
                  </a:solidFill>
                </a:ln>
                <a:effectLst/>
              </c:spPr>
            </c:marker>
            <c:bubble3D val="0"/>
            <c:extLst>
              <c:ext xmlns:c16="http://schemas.microsoft.com/office/drawing/2014/chart" uri="{C3380CC4-5D6E-409C-BE32-E72D297353CC}">
                <c16:uniqueId val="{00000009-955A-44EF-AA33-0B1351E1ACED}"/>
              </c:ext>
            </c:extLst>
          </c:dPt>
          <c:dPt>
            <c:idx val="10"/>
            <c:marker>
              <c:symbol val="circle"/>
              <c:size val="4"/>
              <c:spPr>
                <a:solidFill>
                  <a:schemeClr val="tx1"/>
                </a:solidFill>
                <a:ln w="9525">
                  <a:solidFill>
                    <a:schemeClr val="tx1"/>
                  </a:solidFill>
                </a:ln>
                <a:effectLst/>
              </c:spPr>
            </c:marker>
            <c:bubble3D val="0"/>
            <c:extLst>
              <c:ext xmlns:c16="http://schemas.microsoft.com/office/drawing/2014/chart" uri="{C3380CC4-5D6E-409C-BE32-E72D297353CC}">
                <c16:uniqueId val="{0000000A-955A-44EF-AA33-0B1351E1ACED}"/>
              </c:ext>
            </c:extLst>
          </c:dPt>
          <c:yVal>
            <c:numRef>
              <c:f>'Figure 1.18'!$E$3:$E$13</c:f>
              <c:numCache>
                <c:formatCode>0.00</c:formatCode>
                <c:ptCount val="11"/>
                <c:pt idx="0">
                  <c:v>0.2277401</c:v>
                </c:pt>
                <c:pt idx="1">
                  <c:v>1.2675981000000001</c:v>
                </c:pt>
                <c:pt idx="2">
                  <c:v>2.5355249999999999E-2</c:v>
                </c:pt>
                <c:pt idx="4">
                  <c:v>0.12330254</c:v>
                </c:pt>
                <c:pt idx="5">
                  <c:v>0.7</c:v>
                </c:pt>
                <c:pt idx="6">
                  <c:v>0.1</c:v>
                </c:pt>
                <c:pt idx="8">
                  <c:v>0.2</c:v>
                </c:pt>
                <c:pt idx="9">
                  <c:v>0.53134963000000002</c:v>
                </c:pt>
                <c:pt idx="10">
                  <c:v>0.23499999999999999</c:v>
                </c:pt>
              </c:numCache>
            </c:numRef>
          </c:yVal>
          <c:smooth val="0"/>
          <c:extLst>
            <c:ext xmlns:c16="http://schemas.microsoft.com/office/drawing/2014/chart" uri="{C3380CC4-5D6E-409C-BE32-E72D297353CC}">
              <c16:uniqueId val="{0000000B-955A-44EF-AA33-0B1351E1ACED}"/>
            </c:ext>
          </c:extLst>
        </c:ser>
        <c:dLbls>
          <c:showLegendKey val="0"/>
          <c:showVal val="0"/>
          <c:showCatName val="0"/>
          <c:showSerName val="0"/>
          <c:showPercent val="0"/>
          <c:showBubbleSize val="0"/>
        </c:dLbls>
        <c:axId val="2045945631"/>
        <c:axId val="2045936479"/>
      </c:scatterChart>
      <c:catAx>
        <c:axId val="2045945631"/>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2045936479"/>
        <c:crosses val="autoZero"/>
        <c:auto val="1"/>
        <c:lblAlgn val="ctr"/>
        <c:lblOffset val="100"/>
        <c:noMultiLvlLbl val="0"/>
      </c:catAx>
      <c:valAx>
        <c:axId val="2045936479"/>
        <c:scaling>
          <c:orientation val="minMax"/>
        </c:scaling>
        <c:delete val="0"/>
        <c:axPos val="l"/>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2045945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1.18'!$T$2</c:f>
              <c:strCache>
                <c:ptCount val="1"/>
                <c:pt idx="0">
                  <c:v>Government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1.18'!$U$1:$V$1</c:f>
              <c:strCache>
                <c:ptCount val="2"/>
                <c:pt idx="0">
                  <c:v>Before the Government Support</c:v>
                </c:pt>
                <c:pt idx="1">
                  <c:v>After the Government Support</c:v>
                </c:pt>
              </c:strCache>
            </c:strRef>
          </c:cat>
          <c:val>
            <c:numRef>
              <c:f>'Figure 1.18'!$U$2:$V$2</c:f>
              <c:numCache>
                <c:formatCode>General</c:formatCode>
                <c:ptCount val="2"/>
                <c:pt idx="0">
                  <c:v>3</c:v>
                </c:pt>
                <c:pt idx="1">
                  <c:v>44</c:v>
                </c:pt>
              </c:numCache>
            </c:numRef>
          </c:val>
          <c:extLst>
            <c:ext xmlns:c16="http://schemas.microsoft.com/office/drawing/2014/chart" uri="{C3380CC4-5D6E-409C-BE32-E72D297353CC}">
              <c16:uniqueId val="{00000000-7D06-4E48-BDD1-75DF804DA2B6}"/>
            </c:ext>
          </c:extLst>
        </c:ser>
        <c:ser>
          <c:idx val="1"/>
          <c:order val="1"/>
          <c:tx>
            <c:strRef>
              <c:f>'Figure 1.18'!$T$3</c:f>
              <c:strCache>
                <c:ptCount val="1"/>
                <c:pt idx="0">
                  <c:v>Households</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1.18'!$U$1:$V$1</c:f>
              <c:strCache>
                <c:ptCount val="2"/>
                <c:pt idx="0">
                  <c:v>Before the Government Support</c:v>
                </c:pt>
                <c:pt idx="1">
                  <c:v>After the Government Support</c:v>
                </c:pt>
              </c:strCache>
            </c:strRef>
          </c:cat>
          <c:val>
            <c:numRef>
              <c:f>'Figure 1.18'!$U$3:$V$3</c:f>
              <c:numCache>
                <c:formatCode>General</c:formatCode>
                <c:ptCount val="2"/>
                <c:pt idx="0">
                  <c:v>32</c:v>
                </c:pt>
                <c:pt idx="1">
                  <c:v>5</c:v>
                </c:pt>
              </c:numCache>
            </c:numRef>
          </c:val>
          <c:extLst>
            <c:ext xmlns:c16="http://schemas.microsoft.com/office/drawing/2014/chart" uri="{C3380CC4-5D6E-409C-BE32-E72D297353CC}">
              <c16:uniqueId val="{00000001-7D06-4E48-BDD1-75DF804DA2B6}"/>
            </c:ext>
          </c:extLst>
        </c:ser>
        <c:ser>
          <c:idx val="2"/>
          <c:order val="2"/>
          <c:tx>
            <c:strRef>
              <c:f>'Figure 1.18'!$T$4</c:f>
              <c:strCache>
                <c:ptCount val="1"/>
                <c:pt idx="0">
                  <c:v>Businesses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HelveticaNeueLT Std"/>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1.18'!$U$1:$V$1</c:f>
              <c:strCache>
                <c:ptCount val="2"/>
                <c:pt idx="0">
                  <c:v>Before the Government Support</c:v>
                </c:pt>
                <c:pt idx="1">
                  <c:v>After the Government Support</c:v>
                </c:pt>
              </c:strCache>
            </c:strRef>
          </c:cat>
          <c:val>
            <c:numRef>
              <c:f>'Figure 1.18'!$U$4:$V$4</c:f>
              <c:numCache>
                <c:formatCode>General</c:formatCode>
                <c:ptCount val="2"/>
                <c:pt idx="0">
                  <c:v>50</c:v>
                </c:pt>
                <c:pt idx="1">
                  <c:v>36</c:v>
                </c:pt>
              </c:numCache>
            </c:numRef>
          </c:val>
          <c:extLst>
            <c:ext xmlns:c16="http://schemas.microsoft.com/office/drawing/2014/chart" uri="{C3380CC4-5D6E-409C-BE32-E72D297353CC}">
              <c16:uniqueId val="{00000002-7D06-4E48-BDD1-75DF804DA2B6}"/>
            </c:ext>
          </c:extLst>
        </c:ser>
        <c:dLbls>
          <c:showLegendKey val="0"/>
          <c:showVal val="0"/>
          <c:showCatName val="0"/>
          <c:showSerName val="0"/>
          <c:showPercent val="0"/>
          <c:showBubbleSize val="0"/>
        </c:dLbls>
        <c:gapWidth val="150"/>
        <c:overlap val="100"/>
        <c:axId val="1591927664"/>
        <c:axId val="1591926416"/>
      </c:barChart>
      <c:catAx>
        <c:axId val="1591927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crossAx val="1591926416"/>
        <c:crosses val="autoZero"/>
        <c:auto val="1"/>
        <c:lblAlgn val="ctr"/>
        <c:lblOffset val="100"/>
        <c:noMultiLvlLbl val="0"/>
      </c:catAx>
      <c:valAx>
        <c:axId val="1591926416"/>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crossAx val="159192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5003607616777"/>
          <c:y val="3.5541249729052031E-2"/>
          <c:w val="0.83799698842425585"/>
          <c:h val="0.67692851349549843"/>
        </c:manualLayout>
      </c:layout>
      <c:barChart>
        <c:barDir val="col"/>
        <c:grouping val="clustered"/>
        <c:varyColors val="0"/>
        <c:ser>
          <c:idx val="1"/>
          <c:order val="1"/>
          <c:tx>
            <c:v>Nonresidential</c:v>
          </c:tx>
          <c:spPr>
            <a:solidFill>
              <a:schemeClr val="accent1"/>
            </a:solidFill>
            <a:ln w="25400">
              <a:noFill/>
            </a:ln>
            <a:effectLst/>
          </c:spPr>
          <c:invertIfNegative val="0"/>
          <c:cat>
            <c:strRef>
              <c:f>'Figure 1.19'!$A$3:$A$27</c:f>
              <c:strCache>
                <c:ptCount val="25"/>
                <c:pt idx="0">
                  <c:v>Cyprus</c:v>
                </c:pt>
                <c:pt idx="1">
                  <c:v>Estonia</c:v>
                </c:pt>
                <c:pt idx="2">
                  <c:v>Poland</c:v>
                </c:pt>
                <c:pt idx="3">
                  <c:v>Ireland</c:v>
                </c:pt>
                <c:pt idx="4">
                  <c:v>Norway</c:v>
                </c:pt>
                <c:pt idx="5">
                  <c:v>France</c:v>
                </c:pt>
                <c:pt idx="6">
                  <c:v>Lithuania</c:v>
                </c:pt>
                <c:pt idx="7">
                  <c:v>Serbia</c:v>
                </c:pt>
                <c:pt idx="8">
                  <c:v>Croatia</c:v>
                </c:pt>
                <c:pt idx="9">
                  <c:v>Bosnia and Herzegovina</c:v>
                </c:pt>
                <c:pt idx="10">
                  <c:v>Luxembourg</c:v>
                </c:pt>
                <c:pt idx="11">
                  <c:v>The Netherlands</c:v>
                </c:pt>
                <c:pt idx="12">
                  <c:v>Austria</c:v>
                </c:pt>
                <c:pt idx="13">
                  <c:v>Portugal</c:v>
                </c:pt>
                <c:pt idx="14">
                  <c:v>Germany</c:v>
                </c:pt>
                <c:pt idx="15">
                  <c:v>Belgium</c:v>
                </c:pt>
                <c:pt idx="16">
                  <c:v>Slovenia</c:v>
                </c:pt>
                <c:pt idx="17">
                  <c:v>Czechia</c:v>
                </c:pt>
                <c:pt idx="18">
                  <c:v>Bulgaria</c:v>
                </c:pt>
                <c:pt idx="19">
                  <c:v>Slovak Republic</c:v>
                </c:pt>
                <c:pt idx="20">
                  <c:v>Hungary</c:v>
                </c:pt>
                <c:pt idx="21">
                  <c:v>Italy</c:v>
                </c:pt>
                <c:pt idx="22">
                  <c:v>Spain</c:v>
                </c:pt>
                <c:pt idx="23">
                  <c:v>Romania</c:v>
                </c:pt>
                <c:pt idx="24">
                  <c:v>Greece</c:v>
                </c:pt>
              </c:strCache>
            </c:strRef>
          </c:cat>
          <c:val>
            <c:numRef>
              <c:f>'Figure 1.19'!$B$3:$B$27</c:f>
              <c:numCache>
                <c:formatCode>General</c:formatCode>
                <c:ptCount val="25"/>
                <c:pt idx="0">
                  <c:v>32</c:v>
                </c:pt>
                <c:pt idx="1">
                  <c:v>39</c:v>
                </c:pt>
                <c:pt idx="2">
                  <c:v>40</c:v>
                </c:pt>
                <c:pt idx="3">
                  <c:v>41</c:v>
                </c:pt>
                <c:pt idx="4">
                  <c:v>43</c:v>
                </c:pt>
                <c:pt idx="5">
                  <c:v>47</c:v>
                </c:pt>
                <c:pt idx="6">
                  <c:v>49</c:v>
                </c:pt>
                <c:pt idx="7">
                  <c:v>50</c:v>
                </c:pt>
                <c:pt idx="8">
                  <c:v>51</c:v>
                </c:pt>
                <c:pt idx="9">
                  <c:v>52</c:v>
                </c:pt>
                <c:pt idx="10">
                  <c:v>64</c:v>
                </c:pt>
                <c:pt idx="11">
                  <c:v>67</c:v>
                </c:pt>
                <c:pt idx="12">
                  <c:v>68</c:v>
                </c:pt>
                <c:pt idx="13">
                  <c:v>71</c:v>
                </c:pt>
                <c:pt idx="14">
                  <c:v>72</c:v>
                </c:pt>
                <c:pt idx="15">
                  <c:v>73</c:v>
                </c:pt>
                <c:pt idx="16">
                  <c:v>77</c:v>
                </c:pt>
                <c:pt idx="17">
                  <c:v>79</c:v>
                </c:pt>
                <c:pt idx="18">
                  <c:v>87</c:v>
                </c:pt>
                <c:pt idx="19">
                  <c:v>90</c:v>
                </c:pt>
                <c:pt idx="20">
                  <c:v>92</c:v>
                </c:pt>
                <c:pt idx="21">
                  <c:v>95</c:v>
                </c:pt>
                <c:pt idx="22">
                  <c:v>105</c:v>
                </c:pt>
                <c:pt idx="23">
                  <c:v>108</c:v>
                </c:pt>
                <c:pt idx="24">
                  <c:v>118</c:v>
                </c:pt>
              </c:numCache>
            </c:numRef>
          </c:val>
          <c:extLst>
            <c:ext xmlns:c16="http://schemas.microsoft.com/office/drawing/2014/chart" uri="{C3380CC4-5D6E-409C-BE32-E72D297353CC}">
              <c16:uniqueId val="{00000000-013B-47D3-A5F6-3B8D056138BA}"/>
            </c:ext>
          </c:extLst>
        </c:ser>
        <c:dLbls>
          <c:showLegendKey val="0"/>
          <c:showVal val="0"/>
          <c:showCatName val="0"/>
          <c:showSerName val="0"/>
          <c:showPercent val="0"/>
          <c:showBubbleSize val="0"/>
        </c:dLbls>
        <c:gapWidth val="54"/>
        <c:axId val="1691991647"/>
        <c:axId val="1691993311"/>
      </c:barChart>
      <c:scatterChart>
        <c:scatterStyle val="lineMarker"/>
        <c:varyColors val="0"/>
        <c:ser>
          <c:idx val="0"/>
          <c:order val="0"/>
          <c:tx>
            <c:v>Residential</c:v>
          </c:tx>
          <c:spPr>
            <a:ln w="25400" cap="rnd">
              <a:noFill/>
              <a:round/>
            </a:ln>
            <a:effectLst/>
          </c:spPr>
          <c:marker>
            <c:symbol val="circle"/>
            <c:size val="6"/>
            <c:spPr>
              <a:solidFill>
                <a:srgbClr val="C00000"/>
              </a:solidFill>
              <a:ln w="9525">
                <a:solidFill>
                  <a:srgbClr val="C00000"/>
                </a:solidFill>
              </a:ln>
              <a:effectLst/>
            </c:spPr>
          </c:marker>
          <c:yVal>
            <c:numRef>
              <c:f>'Figure 1.19'!$C$3:$C$27</c:f>
              <c:numCache>
                <c:formatCode>General</c:formatCode>
                <c:ptCount val="25"/>
                <c:pt idx="0">
                  <c:v>15</c:v>
                </c:pt>
                <c:pt idx="1">
                  <c:v>4</c:v>
                </c:pt>
                <c:pt idx="2">
                  <c:v>3</c:v>
                </c:pt>
                <c:pt idx="3">
                  <c:v>11</c:v>
                </c:pt>
                <c:pt idx="4">
                  <c:v>20</c:v>
                </c:pt>
                <c:pt idx="5">
                  <c:v>16</c:v>
                </c:pt>
                <c:pt idx="6">
                  <c:v>7</c:v>
                </c:pt>
                <c:pt idx="7">
                  <c:v>11</c:v>
                </c:pt>
                <c:pt idx="8">
                  <c:v>5</c:v>
                </c:pt>
                <c:pt idx="9">
                  <c:v>0</c:v>
                </c:pt>
                <c:pt idx="10">
                  <c:v>15</c:v>
                </c:pt>
                <c:pt idx="11">
                  <c:v>43</c:v>
                </c:pt>
                <c:pt idx="12">
                  <c:v>9</c:v>
                </c:pt>
                <c:pt idx="13">
                  <c:v>45</c:v>
                </c:pt>
                <c:pt idx="14">
                  <c:v>19</c:v>
                </c:pt>
                <c:pt idx="15">
                  <c:v>36</c:v>
                </c:pt>
                <c:pt idx="16">
                  <c:v>-13</c:v>
                </c:pt>
                <c:pt idx="17">
                  <c:v>52</c:v>
                </c:pt>
                <c:pt idx="18">
                  <c:v>0</c:v>
                </c:pt>
                <c:pt idx="19">
                  <c:v>21</c:v>
                </c:pt>
                <c:pt idx="20">
                  <c:v>-7</c:v>
                </c:pt>
                <c:pt idx="21">
                  <c:v>48</c:v>
                </c:pt>
                <c:pt idx="22">
                  <c:v>43</c:v>
                </c:pt>
                <c:pt idx="23">
                  <c:v>48</c:v>
                </c:pt>
                <c:pt idx="24">
                  <c:v>88</c:v>
                </c:pt>
              </c:numCache>
            </c:numRef>
          </c:yVal>
          <c:smooth val="0"/>
          <c:extLst>
            <c:ext xmlns:c16="http://schemas.microsoft.com/office/drawing/2014/chart" uri="{C3380CC4-5D6E-409C-BE32-E72D297353CC}">
              <c16:uniqueId val="{00000001-013B-47D3-A5F6-3B8D056138BA}"/>
            </c:ext>
          </c:extLst>
        </c:ser>
        <c:dLbls>
          <c:showLegendKey val="0"/>
          <c:showVal val="0"/>
          <c:showCatName val="0"/>
          <c:showSerName val="0"/>
          <c:showPercent val="0"/>
          <c:showBubbleSize val="0"/>
        </c:dLbls>
        <c:axId val="1691991647"/>
        <c:axId val="1691993311"/>
      </c:scatterChart>
      <c:catAx>
        <c:axId val="169199164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a:ea typeface="+mn-ea"/>
                <a:cs typeface="+mn-cs"/>
              </a:defRPr>
            </a:pPr>
            <a:endParaRPr lang="en-US"/>
          </a:p>
        </c:txPr>
        <c:crossAx val="1691993311"/>
        <c:crosses val="autoZero"/>
        <c:auto val="1"/>
        <c:lblAlgn val="ctr"/>
        <c:lblOffset val="100"/>
        <c:noMultiLvlLbl val="0"/>
      </c:catAx>
      <c:valAx>
        <c:axId val="1691993311"/>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HelveticaNeueLT Std"/>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HelveticaNeueLT Std"/>
                  <a:ea typeface="+mn-ea"/>
                  <a:cs typeface="+mn-cs"/>
                </a:defRPr>
              </a:pPr>
              <a:endParaRPr lang="en-US"/>
            </a:p>
          </c:txPr>
        </c:title>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a:ea typeface="+mn-ea"/>
                <a:cs typeface="+mn-cs"/>
              </a:defRPr>
            </a:pPr>
            <a:endParaRPr lang="en-US"/>
          </a:p>
        </c:txPr>
        <c:crossAx val="1691991647"/>
        <c:crosses val="autoZero"/>
        <c:crossBetween val="between"/>
      </c:valAx>
      <c:spPr>
        <a:noFill/>
        <a:ln>
          <a:noFill/>
        </a:ln>
        <a:effectLst/>
      </c:spPr>
    </c:plotArea>
    <c:legend>
      <c:legendPos val="r"/>
      <c:layout>
        <c:manualLayout>
          <c:xMode val="edge"/>
          <c:yMode val="edge"/>
          <c:x val="0.40456046504002585"/>
          <c:y val="6.074399004336186E-2"/>
          <c:w val="0.35041965084525051"/>
          <c:h val="0.103066571279413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1.19'!$N$2</c:f>
              <c:strCache>
                <c:ptCount val="1"/>
                <c:pt idx="0">
                  <c:v>Proportion of employment at risk</c:v>
                </c:pt>
              </c:strCache>
            </c:strRef>
          </c:tx>
          <c:spPr>
            <a:solidFill>
              <a:schemeClr val="accent1"/>
            </a:solidFill>
            <a:ln>
              <a:solidFill>
                <a:schemeClr val="accent1"/>
              </a:solidFill>
              <a:prstDash val="solid"/>
            </a:ln>
            <a:effectLst/>
          </c:spPr>
          <c:invertIfNegative val="0"/>
          <c:cat>
            <c:strRef>
              <c:f>'Figure 1.19'!$M$3:$M$29</c:f>
              <c:strCache>
                <c:ptCount val="27"/>
                <c:pt idx="0">
                  <c:v>Sweden</c:v>
                </c:pt>
                <c:pt idx="1">
                  <c:v>Greece</c:v>
                </c:pt>
                <c:pt idx="2">
                  <c:v>Bulgaria</c:v>
                </c:pt>
                <c:pt idx="3">
                  <c:v>Croatia</c:v>
                </c:pt>
                <c:pt idx="4">
                  <c:v>Slovenia</c:v>
                </c:pt>
                <c:pt idx="5">
                  <c:v>Italy</c:v>
                </c:pt>
                <c:pt idx="6">
                  <c:v>Slovakia</c:v>
                </c:pt>
                <c:pt idx="7">
                  <c:v>Germany </c:v>
                </c:pt>
                <c:pt idx="8">
                  <c:v>Malta</c:v>
                </c:pt>
                <c:pt idx="9">
                  <c:v>Austria</c:v>
                </c:pt>
                <c:pt idx="10">
                  <c:v>Luxembourg</c:v>
                </c:pt>
                <c:pt idx="11">
                  <c:v>Spain</c:v>
                </c:pt>
                <c:pt idx="12">
                  <c:v>Latvia</c:v>
                </c:pt>
                <c:pt idx="13">
                  <c:v>Lithuania</c:v>
                </c:pt>
                <c:pt idx="14">
                  <c:v>Portugal</c:v>
                </c:pt>
                <c:pt idx="15">
                  <c:v>Romania</c:v>
                </c:pt>
                <c:pt idx="16">
                  <c:v>North Macedonia</c:v>
                </c:pt>
                <c:pt idx="17">
                  <c:v>France</c:v>
                </c:pt>
                <c:pt idx="18">
                  <c:v>Netherlands</c:v>
                </c:pt>
                <c:pt idx="19">
                  <c:v>Czechia</c:v>
                </c:pt>
                <c:pt idx="20">
                  <c:v>Poland</c:v>
                </c:pt>
                <c:pt idx="21">
                  <c:v>Belgium</c:v>
                </c:pt>
                <c:pt idx="22">
                  <c:v>Estonia</c:v>
                </c:pt>
                <c:pt idx="23">
                  <c:v>Cyprus</c:v>
                </c:pt>
                <c:pt idx="24">
                  <c:v>Hungary</c:v>
                </c:pt>
                <c:pt idx="25">
                  <c:v>Norway</c:v>
                </c:pt>
                <c:pt idx="26">
                  <c:v>Denmark</c:v>
                </c:pt>
              </c:strCache>
            </c:strRef>
          </c:cat>
          <c:val>
            <c:numRef>
              <c:f>'Figure 1.19'!$N$3:$N$29</c:f>
              <c:numCache>
                <c:formatCode>General</c:formatCode>
                <c:ptCount val="27"/>
                <c:pt idx="0">
                  <c:v>0</c:v>
                </c:pt>
                <c:pt idx="1">
                  <c:v>12.886687392466319</c:v>
                </c:pt>
                <c:pt idx="2">
                  <c:v>4.1077149760865499</c:v>
                </c:pt>
                <c:pt idx="3">
                  <c:v>2.8647339570047352</c:v>
                </c:pt>
                <c:pt idx="4">
                  <c:v>5.6434874760093177</c:v>
                </c:pt>
                <c:pt idx="5">
                  <c:v>0.3518251731290355</c:v>
                </c:pt>
                <c:pt idx="6">
                  <c:v>7.9066802353464114</c:v>
                </c:pt>
                <c:pt idx="7">
                  <c:v>3.3856984826624603</c:v>
                </c:pt>
                <c:pt idx="8">
                  <c:v>0</c:v>
                </c:pt>
                <c:pt idx="9">
                  <c:v>0</c:v>
                </c:pt>
                <c:pt idx="10">
                  <c:v>11.173210817979443</c:v>
                </c:pt>
                <c:pt idx="11">
                  <c:v>3.6510519406265693</c:v>
                </c:pt>
                <c:pt idx="12">
                  <c:v>48.739093155797647</c:v>
                </c:pt>
                <c:pt idx="13">
                  <c:v>0.63934233917178773</c:v>
                </c:pt>
                <c:pt idx="14">
                  <c:v>0</c:v>
                </c:pt>
                <c:pt idx="15">
                  <c:v>22.898737636100485</c:v>
                </c:pt>
                <c:pt idx="16">
                  <c:v>0</c:v>
                </c:pt>
                <c:pt idx="17">
                  <c:v>2.2762494773647841</c:v>
                </c:pt>
                <c:pt idx="18">
                  <c:v>3.3370680890856605</c:v>
                </c:pt>
                <c:pt idx="19">
                  <c:v>5.8836427218743195</c:v>
                </c:pt>
                <c:pt idx="20">
                  <c:v>0</c:v>
                </c:pt>
                <c:pt idx="21">
                  <c:v>5.1862921966731896</c:v>
                </c:pt>
                <c:pt idx="22">
                  <c:v>34.300506343517092</c:v>
                </c:pt>
                <c:pt idx="23">
                  <c:v>0</c:v>
                </c:pt>
                <c:pt idx="24">
                  <c:v>9.7154690022907797</c:v>
                </c:pt>
                <c:pt idx="25">
                  <c:v>12.849002298672952</c:v>
                </c:pt>
                <c:pt idx="26">
                  <c:v>6.9380407366222778</c:v>
                </c:pt>
              </c:numCache>
            </c:numRef>
          </c:val>
          <c:extLst>
            <c:ext xmlns:c16="http://schemas.microsoft.com/office/drawing/2014/chart" uri="{C3380CC4-5D6E-409C-BE32-E72D297353CC}">
              <c16:uniqueId val="{00000000-47DC-4B87-B788-3A416BC04199}"/>
            </c:ext>
          </c:extLst>
        </c:ser>
        <c:ser>
          <c:idx val="1"/>
          <c:order val="1"/>
          <c:tx>
            <c:strRef>
              <c:f>'Figure 1.19'!$O$2</c:f>
              <c:strCache>
                <c:ptCount val="1"/>
                <c:pt idx="0">
                  <c:v>Proportion of enterprises at risk </c:v>
                </c:pt>
              </c:strCache>
            </c:strRef>
          </c:tx>
          <c:spPr>
            <a:solidFill>
              <a:srgbClr val="92D050"/>
            </a:solidFill>
            <a:ln>
              <a:solidFill>
                <a:schemeClr val="accent1"/>
              </a:solidFill>
              <a:prstDash val="solid"/>
            </a:ln>
            <a:effectLst/>
          </c:spPr>
          <c:invertIfNegative val="0"/>
          <c:cat>
            <c:strRef>
              <c:f>'Figure 1.19'!$M$3:$M$29</c:f>
              <c:strCache>
                <c:ptCount val="27"/>
                <c:pt idx="0">
                  <c:v>Sweden</c:v>
                </c:pt>
                <c:pt idx="1">
                  <c:v>Greece</c:v>
                </c:pt>
                <c:pt idx="2">
                  <c:v>Bulgaria</c:v>
                </c:pt>
                <c:pt idx="3">
                  <c:v>Croatia</c:v>
                </c:pt>
                <c:pt idx="4">
                  <c:v>Slovenia</c:v>
                </c:pt>
                <c:pt idx="5">
                  <c:v>Italy</c:v>
                </c:pt>
                <c:pt idx="6">
                  <c:v>Slovakia</c:v>
                </c:pt>
                <c:pt idx="7">
                  <c:v>Germany </c:v>
                </c:pt>
                <c:pt idx="8">
                  <c:v>Malta</c:v>
                </c:pt>
                <c:pt idx="9">
                  <c:v>Austria</c:v>
                </c:pt>
                <c:pt idx="10">
                  <c:v>Luxembourg</c:v>
                </c:pt>
                <c:pt idx="11">
                  <c:v>Spain</c:v>
                </c:pt>
                <c:pt idx="12">
                  <c:v>Latvia</c:v>
                </c:pt>
                <c:pt idx="13">
                  <c:v>Lithuania</c:v>
                </c:pt>
                <c:pt idx="14">
                  <c:v>Portugal</c:v>
                </c:pt>
                <c:pt idx="15">
                  <c:v>Romania</c:v>
                </c:pt>
                <c:pt idx="16">
                  <c:v>North Macedonia</c:v>
                </c:pt>
                <c:pt idx="17">
                  <c:v>France</c:v>
                </c:pt>
                <c:pt idx="18">
                  <c:v>Netherlands</c:v>
                </c:pt>
                <c:pt idx="19">
                  <c:v>Czechia</c:v>
                </c:pt>
                <c:pt idx="20">
                  <c:v>Poland</c:v>
                </c:pt>
                <c:pt idx="21">
                  <c:v>Belgium</c:v>
                </c:pt>
                <c:pt idx="22">
                  <c:v>Estonia</c:v>
                </c:pt>
                <c:pt idx="23">
                  <c:v>Cyprus</c:v>
                </c:pt>
                <c:pt idx="24">
                  <c:v>Hungary</c:v>
                </c:pt>
                <c:pt idx="25">
                  <c:v>Norway</c:v>
                </c:pt>
                <c:pt idx="26">
                  <c:v>Denmark</c:v>
                </c:pt>
              </c:strCache>
            </c:strRef>
          </c:cat>
          <c:val>
            <c:numRef>
              <c:f>'Figure 1.19'!$O$3:$O$29</c:f>
              <c:numCache>
                <c:formatCode>General</c:formatCode>
                <c:ptCount val="27"/>
                <c:pt idx="0">
                  <c:v>0</c:v>
                </c:pt>
                <c:pt idx="1">
                  <c:v>12.536417147273918</c:v>
                </c:pt>
                <c:pt idx="2">
                  <c:v>6.7995910020449895</c:v>
                </c:pt>
                <c:pt idx="3">
                  <c:v>1.5527116520494004</c:v>
                </c:pt>
                <c:pt idx="4">
                  <c:v>0.58504414423997453</c:v>
                </c:pt>
                <c:pt idx="5">
                  <c:v>8.0211213799591605E-2</c:v>
                </c:pt>
                <c:pt idx="6">
                  <c:v>2.7271833443944642</c:v>
                </c:pt>
                <c:pt idx="7">
                  <c:v>1.1169084125692186</c:v>
                </c:pt>
                <c:pt idx="8">
                  <c:v>0</c:v>
                </c:pt>
                <c:pt idx="9">
                  <c:v>0</c:v>
                </c:pt>
                <c:pt idx="10">
                  <c:v>6.2409288824383164</c:v>
                </c:pt>
                <c:pt idx="11">
                  <c:v>1.6569443079395729</c:v>
                </c:pt>
                <c:pt idx="12">
                  <c:v>43.637677232908878</c:v>
                </c:pt>
                <c:pt idx="13">
                  <c:v>1.4884786031200801</c:v>
                </c:pt>
                <c:pt idx="14">
                  <c:v>0</c:v>
                </c:pt>
                <c:pt idx="15">
                  <c:v>25.885057471264368</c:v>
                </c:pt>
                <c:pt idx="16">
                  <c:v>0</c:v>
                </c:pt>
                <c:pt idx="17">
                  <c:v>0.34521508089936859</c:v>
                </c:pt>
                <c:pt idx="18">
                  <c:v>0.56061129670160881</c:v>
                </c:pt>
                <c:pt idx="19">
                  <c:v>6.5070893579524975</c:v>
                </c:pt>
                <c:pt idx="20">
                  <c:v>0</c:v>
                </c:pt>
                <c:pt idx="21">
                  <c:v>0.73290110960202959</c:v>
                </c:pt>
                <c:pt idx="22">
                  <c:v>29.705430024843249</c:v>
                </c:pt>
                <c:pt idx="23">
                  <c:v>0</c:v>
                </c:pt>
                <c:pt idx="24">
                  <c:v>11.855176853350036</c:v>
                </c:pt>
                <c:pt idx="25">
                  <c:v>3.0522306855277477</c:v>
                </c:pt>
                <c:pt idx="26">
                  <c:v>4.8440908507635054</c:v>
                </c:pt>
              </c:numCache>
            </c:numRef>
          </c:val>
          <c:extLst>
            <c:ext xmlns:c16="http://schemas.microsoft.com/office/drawing/2014/chart" uri="{C3380CC4-5D6E-409C-BE32-E72D297353CC}">
              <c16:uniqueId val="{00000001-47DC-4B87-B788-3A416BC04199}"/>
            </c:ext>
          </c:extLst>
        </c:ser>
        <c:dLbls>
          <c:showLegendKey val="0"/>
          <c:showVal val="0"/>
          <c:showCatName val="0"/>
          <c:showSerName val="0"/>
          <c:showPercent val="0"/>
          <c:showBubbleSize val="0"/>
        </c:dLbls>
        <c:gapWidth val="80"/>
        <c:axId val="1084928143"/>
        <c:axId val="1084939375"/>
      </c:barChart>
      <c:scatterChart>
        <c:scatterStyle val="lineMarker"/>
        <c:varyColors val="0"/>
        <c:ser>
          <c:idx val="2"/>
          <c:order val="2"/>
          <c:tx>
            <c:v>Fiscal Costs (RHS)</c:v>
          </c:tx>
          <c:spPr>
            <a:ln w="25400" cap="rnd">
              <a:noFill/>
              <a:round/>
            </a:ln>
            <a:effectLst/>
          </c:spPr>
          <c:marker>
            <c:symbol val="circle"/>
            <c:size val="5"/>
            <c:spPr>
              <a:solidFill>
                <a:srgbClr val="FFC000"/>
              </a:solidFill>
              <a:ln w="9525">
                <a:solidFill>
                  <a:schemeClr val="accent3"/>
                </a:solidFill>
              </a:ln>
              <a:effectLst/>
            </c:spPr>
          </c:marker>
          <c:yVal>
            <c:numRef>
              <c:f>'Figure 1.19'!$P$3:$P$29</c:f>
              <c:numCache>
                <c:formatCode>General</c:formatCode>
                <c:ptCount val="27"/>
                <c:pt idx="0">
                  <c:v>5.2046858534077503</c:v>
                </c:pt>
                <c:pt idx="1">
                  <c:v>4.2837934917272591</c:v>
                </c:pt>
                <c:pt idx="2">
                  <c:v>2.62</c:v>
                </c:pt>
                <c:pt idx="3">
                  <c:v>1.9253343609016618</c:v>
                </c:pt>
                <c:pt idx="4">
                  <c:v>1.9100000000000001</c:v>
                </c:pt>
                <c:pt idx="5">
                  <c:v>1.6621493989537242</c:v>
                </c:pt>
                <c:pt idx="6">
                  <c:v>1.35</c:v>
                </c:pt>
                <c:pt idx="7">
                  <c:v>1.2237661319777775</c:v>
                </c:pt>
                <c:pt idx="8">
                  <c:v>1.1801378201112809</c:v>
                </c:pt>
                <c:pt idx="9">
                  <c:v>1.166009895439811</c:v>
                </c:pt>
                <c:pt idx="10">
                  <c:v>1.1599999999999999</c:v>
                </c:pt>
                <c:pt idx="11">
                  <c:v>1.0727584891262878</c:v>
                </c:pt>
                <c:pt idx="12">
                  <c:v>0.94000000000000006</c:v>
                </c:pt>
                <c:pt idx="13">
                  <c:v>0.89999999999999991</c:v>
                </c:pt>
                <c:pt idx="14">
                  <c:v>0.69359999999999999</c:v>
                </c:pt>
                <c:pt idx="15">
                  <c:v>0.64</c:v>
                </c:pt>
                <c:pt idx="16">
                  <c:v>0.45</c:v>
                </c:pt>
                <c:pt idx="17">
                  <c:v>0.40729046264351981</c:v>
                </c:pt>
                <c:pt idx="18">
                  <c:v>0.4</c:v>
                </c:pt>
                <c:pt idx="19">
                  <c:v>0.4</c:v>
                </c:pt>
                <c:pt idx="20">
                  <c:v>0.36722067639526612</c:v>
                </c:pt>
                <c:pt idx="21">
                  <c:v>0.35100000000000003</c:v>
                </c:pt>
                <c:pt idx="22">
                  <c:v>0.14379999999999998</c:v>
                </c:pt>
                <c:pt idx="23">
                  <c:v>0.14000000000000001</c:v>
                </c:pt>
                <c:pt idx="24">
                  <c:v>0.10853458056449559</c:v>
                </c:pt>
                <c:pt idx="25">
                  <c:v>7.7039122188088102E-2</c:v>
                </c:pt>
                <c:pt idx="26">
                  <c:v>0</c:v>
                </c:pt>
              </c:numCache>
            </c:numRef>
          </c:yVal>
          <c:smooth val="0"/>
          <c:extLst>
            <c:ext xmlns:c16="http://schemas.microsoft.com/office/drawing/2014/chart" uri="{C3380CC4-5D6E-409C-BE32-E72D297353CC}">
              <c16:uniqueId val="{00000002-47DC-4B87-B788-3A416BC04199}"/>
            </c:ext>
          </c:extLst>
        </c:ser>
        <c:dLbls>
          <c:showLegendKey val="0"/>
          <c:showVal val="0"/>
          <c:showCatName val="0"/>
          <c:showSerName val="0"/>
          <c:showPercent val="0"/>
          <c:showBubbleSize val="0"/>
        </c:dLbls>
        <c:axId val="335144944"/>
        <c:axId val="335136208"/>
      </c:scatterChart>
      <c:catAx>
        <c:axId val="1084928143"/>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crossAx val="1084939375"/>
        <c:crosses val="autoZero"/>
        <c:auto val="1"/>
        <c:lblAlgn val="ctr"/>
        <c:lblOffset val="100"/>
        <c:noMultiLvlLbl val="0"/>
      </c:catAx>
      <c:valAx>
        <c:axId val="1084939375"/>
        <c:scaling>
          <c:orientation val="minMax"/>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crossAx val="1084928143"/>
        <c:crosses val="autoZero"/>
        <c:crossBetween val="between"/>
      </c:valAx>
      <c:valAx>
        <c:axId val="3351362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NeueLT Std"/>
                <a:ea typeface="+mn-ea"/>
                <a:cs typeface="+mn-cs"/>
              </a:defRPr>
            </a:pPr>
            <a:endParaRPr lang="en-US"/>
          </a:p>
        </c:txPr>
        <c:crossAx val="335144944"/>
        <c:crosses val="max"/>
        <c:crossBetween val="midCat"/>
      </c:valAx>
      <c:valAx>
        <c:axId val="335144944"/>
        <c:scaling>
          <c:orientation val="minMax"/>
        </c:scaling>
        <c:delete val="1"/>
        <c:axPos val="b"/>
        <c:majorTickMark val="out"/>
        <c:minorTickMark val="none"/>
        <c:tickLblPos val="nextTo"/>
        <c:crossAx val="335136208"/>
        <c:crosses val="autoZero"/>
        <c:crossBetween val="midCat"/>
      </c:valAx>
      <c:spPr>
        <a:solidFill>
          <a:srgbClr val="FFFFFF"/>
        </a:solidFill>
        <a:ln w="3175">
          <a:noFill/>
          <a:prstDash val="solid"/>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a:latin typeface="HelveticaNeueLT Std"/>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31466085465307E-2"/>
          <c:y val="3.514456246396553E-2"/>
          <c:w val="0.89128405712796377"/>
          <c:h val="0.82892120768826305"/>
        </c:manualLayout>
      </c:layout>
      <c:barChart>
        <c:barDir val="col"/>
        <c:grouping val="stacked"/>
        <c:varyColors val="0"/>
        <c:ser>
          <c:idx val="0"/>
          <c:order val="0"/>
          <c:tx>
            <c:strRef>
              <c:f>'Figure 1.2'!$AN$6</c:f>
              <c:strCache>
                <c:ptCount val="1"/>
                <c:pt idx="0">
                  <c:v>Advanced economies</c:v>
                </c:pt>
              </c:strCache>
            </c:strRef>
          </c:tx>
          <c:spPr>
            <a:solidFill>
              <a:schemeClr val="accent1"/>
            </a:solidFill>
            <a:ln>
              <a:noFill/>
            </a:ln>
            <a:effectLst/>
          </c:spPr>
          <c:invertIfNegative val="0"/>
          <c:cat>
            <c:strRef>
              <c:extLst>
                <c:ext xmlns:c15="http://schemas.microsoft.com/office/drawing/2012/chart" uri="{02D57815-91ED-43cb-92C2-25804820EDAC}">
                  <c15:fullRef>
                    <c15:sqref>'Figure 1.2'!$AO$5:$BI$5</c15:sqref>
                  </c15:fullRef>
                </c:ext>
              </c:extLst>
              <c:f>'Figure 1.2'!$AO$5:$BG$5</c:f>
              <c:strCache>
                <c:ptCount val="19"/>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strCache>
            </c:strRef>
          </c:cat>
          <c:val>
            <c:numRef>
              <c:extLst>
                <c:ext xmlns:c15="http://schemas.microsoft.com/office/drawing/2012/chart" uri="{02D57815-91ED-43cb-92C2-25804820EDAC}">
                  <c15:fullRef>
                    <c15:sqref>'Figure 1.2'!$AO$6:$BI$6</c15:sqref>
                  </c15:fullRef>
                </c:ext>
              </c:extLst>
              <c:f>'Figure 1.2'!$AO$6:$BG$6</c:f>
              <c:numCache>
                <c:formatCode>0.00</c:formatCode>
                <c:ptCount val="19"/>
                <c:pt idx="0">
                  <c:v>29.706053390784316</c:v>
                </c:pt>
                <c:pt idx="1">
                  <c:v>34.328534371110713</c:v>
                </c:pt>
                <c:pt idx="2">
                  <c:v>37.818672322625069</c:v>
                </c:pt>
                <c:pt idx="3">
                  <c:v>42.294770074113401</c:v>
                </c:pt>
                <c:pt idx="4">
                  <c:v>47.30237028292823</c:v>
                </c:pt>
                <c:pt idx="5">
                  <c:v>49.142978606928558</c:v>
                </c:pt>
                <c:pt idx="6">
                  <c:v>48.887388695060146</c:v>
                </c:pt>
                <c:pt idx="7">
                  <c:v>49.817551593212485</c:v>
                </c:pt>
                <c:pt idx="8">
                  <c:v>46.955990326539435</c:v>
                </c:pt>
                <c:pt idx="9">
                  <c:v>49.319552351910154</c:v>
                </c:pt>
                <c:pt idx="10">
                  <c:v>50.345197719363235</c:v>
                </c:pt>
                <c:pt idx="11">
                  <c:v>53.032982343491689</c:v>
                </c:pt>
                <c:pt idx="12">
                  <c:v>54.134416153241958</c:v>
                </c:pt>
                <c:pt idx="13">
                  <c:v>62.70322581453788</c:v>
                </c:pt>
                <c:pt idx="14">
                  <c:v>66.469626292032487</c:v>
                </c:pt>
                <c:pt idx="15">
                  <c:v>64.775229256935035</c:v>
                </c:pt>
                <c:pt idx="16">
                  <c:v>67.978928895985092</c:v>
                </c:pt>
                <c:pt idx="17">
                  <c:v>71.183715255184396</c:v>
                </c:pt>
                <c:pt idx="18">
                  <c:v>74.903377281958754</c:v>
                </c:pt>
              </c:numCache>
            </c:numRef>
          </c:val>
          <c:extLst>
            <c:ext xmlns:c16="http://schemas.microsoft.com/office/drawing/2014/chart" uri="{C3380CC4-5D6E-409C-BE32-E72D297353CC}">
              <c16:uniqueId val="{00000000-29A7-4AD9-B460-48B5DEE69F94}"/>
            </c:ext>
          </c:extLst>
        </c:ser>
        <c:ser>
          <c:idx val="1"/>
          <c:order val="1"/>
          <c:tx>
            <c:strRef>
              <c:f>'Figure 1.2'!$AN$7</c:f>
              <c:strCache>
                <c:ptCount val="1"/>
                <c:pt idx="0">
                  <c:v>Emerging market economies, excluding China</c:v>
                </c:pt>
              </c:strCache>
            </c:strRef>
          </c:tx>
          <c:spPr>
            <a:solidFill>
              <a:srgbClr val="C00000"/>
            </a:solidFill>
            <a:ln>
              <a:noFill/>
            </a:ln>
            <a:effectLst/>
          </c:spPr>
          <c:invertIfNegative val="0"/>
          <c:cat>
            <c:strRef>
              <c:extLst>
                <c:ext xmlns:c15="http://schemas.microsoft.com/office/drawing/2012/chart" uri="{02D57815-91ED-43cb-92C2-25804820EDAC}">
                  <c15:fullRef>
                    <c15:sqref>'Figure 1.2'!$AO$5:$BI$5</c15:sqref>
                  </c15:fullRef>
                </c:ext>
              </c:extLst>
              <c:f>'Figure 1.2'!$AO$5:$BG$5</c:f>
              <c:strCache>
                <c:ptCount val="19"/>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strCache>
            </c:strRef>
          </c:cat>
          <c:val>
            <c:numRef>
              <c:extLst>
                <c:ext xmlns:c15="http://schemas.microsoft.com/office/drawing/2012/chart" uri="{02D57815-91ED-43cb-92C2-25804820EDAC}">
                  <c15:fullRef>
                    <c15:sqref>'Figure 1.2'!$AO$7:$BI$7</c15:sqref>
                  </c15:fullRef>
                </c:ext>
              </c:extLst>
              <c:f>'Figure 1.2'!$AO$7:$BG$7</c:f>
              <c:numCache>
                <c:formatCode>0.00</c:formatCode>
                <c:ptCount val="19"/>
                <c:pt idx="0">
                  <c:v>4.6052831104859653</c:v>
                </c:pt>
                <c:pt idx="1">
                  <c:v>5.1084939279636545</c:v>
                </c:pt>
                <c:pt idx="2">
                  <c:v>5.2373210122353431</c:v>
                </c:pt>
                <c:pt idx="3">
                  <c:v>6.158071793726613</c:v>
                </c:pt>
                <c:pt idx="4">
                  <c:v>6.9608322447087758</c:v>
                </c:pt>
                <c:pt idx="5">
                  <c:v>7.1020852666528294</c:v>
                </c:pt>
                <c:pt idx="6">
                  <c:v>7.4206135180737913</c:v>
                </c:pt>
                <c:pt idx="7">
                  <c:v>7.6876527673885926</c:v>
                </c:pt>
                <c:pt idx="8">
                  <c:v>7.600481102319697</c:v>
                </c:pt>
                <c:pt idx="9">
                  <c:v>8.0825377212325407</c:v>
                </c:pt>
                <c:pt idx="10">
                  <c:v>9.0565788559837763</c:v>
                </c:pt>
                <c:pt idx="11">
                  <c:v>9.3714963168325465</c:v>
                </c:pt>
                <c:pt idx="12">
                  <c:v>9.7554930453610353</c:v>
                </c:pt>
                <c:pt idx="13">
                  <c:v>10.375028978296092</c:v>
                </c:pt>
                <c:pt idx="14">
                  <c:v>11.482526071776155</c:v>
                </c:pt>
                <c:pt idx="15">
                  <c:v>12.045151672807322</c:v>
                </c:pt>
                <c:pt idx="16">
                  <c:v>12.949227252266486</c:v>
                </c:pt>
                <c:pt idx="17">
                  <c:v>13.755687546203225</c:v>
                </c:pt>
                <c:pt idx="18">
                  <c:v>14.613845759640895</c:v>
                </c:pt>
              </c:numCache>
            </c:numRef>
          </c:val>
          <c:extLst>
            <c:ext xmlns:c16="http://schemas.microsoft.com/office/drawing/2014/chart" uri="{C3380CC4-5D6E-409C-BE32-E72D297353CC}">
              <c16:uniqueId val="{00000001-29A7-4AD9-B460-48B5DEE69F94}"/>
            </c:ext>
          </c:extLst>
        </c:ser>
        <c:ser>
          <c:idx val="2"/>
          <c:order val="2"/>
          <c:tx>
            <c:strRef>
              <c:f>'Figure 1.2'!$AN$8</c:f>
              <c:strCache>
                <c:ptCount val="1"/>
                <c:pt idx="0">
                  <c:v>China</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'Figure 1.2'!$AO$5:$BI$5</c15:sqref>
                  </c15:fullRef>
                </c:ext>
              </c:extLst>
              <c:f>'Figure 1.2'!$AO$5:$BG$5</c:f>
              <c:strCache>
                <c:ptCount val="19"/>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strCache>
            </c:strRef>
          </c:cat>
          <c:val>
            <c:numRef>
              <c:extLst>
                <c:ext xmlns:c15="http://schemas.microsoft.com/office/drawing/2012/chart" uri="{02D57815-91ED-43cb-92C2-25804820EDAC}">
                  <c15:fullRef>
                    <c15:sqref>'Figure 1.2'!$AO$8:$BI$8</c15:sqref>
                  </c15:fullRef>
                </c:ext>
              </c:extLst>
              <c:f>'Figure 1.2'!$AO$8:$BG$8</c:f>
              <c:numCache>
                <c:formatCode>0.00</c:formatCode>
                <c:ptCount val="19"/>
                <c:pt idx="0">
                  <c:v>1.0369832877425835</c:v>
                </c:pt>
                <c:pt idx="1">
                  <c:v>1.2431342141531654</c:v>
                </c:pt>
                <c:pt idx="2">
                  <c:v>1.7591131479939877</c:v>
                </c:pt>
                <c:pt idx="3">
                  <c:v>2.0469338364641483</c:v>
                </c:pt>
                <c:pt idx="4">
                  <c:v>2.5302404243915344</c:v>
                </c:pt>
                <c:pt idx="5">
                  <c:v>2.9370245313859558</c:v>
                </c:pt>
                <c:pt idx="6">
                  <c:v>3.5646194508039084</c:v>
                </c:pt>
                <c:pt idx="7">
                  <c:v>4.2064591649867404</c:v>
                </c:pt>
                <c:pt idx="8">
                  <c:v>4.6108636696779781</c:v>
                </c:pt>
                <c:pt idx="9">
                  <c:v>5.6921378384305621</c:v>
                </c:pt>
                <c:pt idx="10">
                  <c:v>6.7398730903831332</c:v>
                </c:pt>
                <c:pt idx="11">
                  <c:v>7.8426693750429708</c:v>
                </c:pt>
                <c:pt idx="12">
                  <c:v>8.6622395442835085</c:v>
                </c:pt>
                <c:pt idx="13">
                  <c:v>10.424225888308342</c:v>
                </c:pt>
                <c:pt idx="14">
                  <c:v>12.757572594246254</c:v>
                </c:pt>
                <c:pt idx="15">
                  <c:v>13.954611319729821</c:v>
                </c:pt>
                <c:pt idx="16">
                  <c:v>15.970484625395885</c:v>
                </c:pt>
                <c:pt idx="17">
                  <c:v>18.199053729390645</c:v>
                </c:pt>
                <c:pt idx="18">
                  <c:v>20.616314390753693</c:v>
                </c:pt>
              </c:numCache>
            </c:numRef>
          </c:val>
          <c:extLst>
            <c:ext xmlns:c16="http://schemas.microsoft.com/office/drawing/2014/chart" uri="{C3380CC4-5D6E-409C-BE32-E72D297353CC}">
              <c16:uniqueId val="{00000002-29A7-4AD9-B460-48B5DEE69F94}"/>
            </c:ext>
          </c:extLst>
        </c:ser>
        <c:ser>
          <c:idx val="3"/>
          <c:order val="3"/>
          <c:tx>
            <c:strRef>
              <c:f>'Figure 1.2'!$AN$9</c:f>
              <c:strCache>
                <c:ptCount val="1"/>
                <c:pt idx="0">
                  <c:v>Low-income developing countries</c:v>
                </c:pt>
              </c:strCache>
            </c:strRef>
          </c:tx>
          <c:spPr>
            <a:solidFill>
              <a:schemeClr val="tx1"/>
            </a:solidFill>
            <a:ln>
              <a:noFill/>
            </a:ln>
            <a:effectLst/>
          </c:spPr>
          <c:invertIfNegative val="0"/>
          <c:cat>
            <c:strRef>
              <c:extLst>
                <c:ext xmlns:c15="http://schemas.microsoft.com/office/drawing/2012/chart" uri="{02D57815-91ED-43cb-92C2-25804820EDAC}">
                  <c15:fullRef>
                    <c15:sqref>'Figure 1.2'!$AO$5:$BI$5</c15:sqref>
                  </c15:fullRef>
                </c:ext>
              </c:extLst>
              <c:f>'Figure 1.2'!$AO$5:$BG$5</c:f>
              <c:strCache>
                <c:ptCount val="19"/>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strCache>
            </c:strRef>
          </c:cat>
          <c:val>
            <c:numRef>
              <c:extLst>
                <c:ext xmlns:c15="http://schemas.microsoft.com/office/drawing/2012/chart" uri="{02D57815-91ED-43cb-92C2-25804820EDAC}">
                  <c15:fullRef>
                    <c15:sqref>'Figure 1.2'!$AO$9:$BI$9</c15:sqref>
                  </c15:fullRef>
                </c:ext>
              </c:extLst>
              <c:f>'Figure 1.2'!$AO$9:$BG$9</c:f>
              <c:numCache>
                <c:formatCode>0.00</c:formatCode>
                <c:ptCount val="19"/>
                <c:pt idx="0">
                  <c:v>0.29517002506648349</c:v>
                </c:pt>
                <c:pt idx="1">
                  <c:v>0.33545549710397599</c:v>
                </c:pt>
                <c:pt idx="2">
                  <c:v>0.35781208463671516</c:v>
                </c:pt>
                <c:pt idx="3">
                  <c:v>0.39037027523390577</c:v>
                </c:pt>
                <c:pt idx="4">
                  <c:v>0.47009371423265817</c:v>
                </c:pt>
                <c:pt idx="5">
                  <c:v>0.512297397341127</c:v>
                </c:pt>
                <c:pt idx="6">
                  <c:v>0.58463719260337244</c:v>
                </c:pt>
                <c:pt idx="7">
                  <c:v>0.64562562929972334</c:v>
                </c:pt>
                <c:pt idx="8">
                  <c:v>0.70773658799648298</c:v>
                </c:pt>
                <c:pt idx="9">
                  <c:v>0.7595208071953764</c:v>
                </c:pt>
                <c:pt idx="10">
                  <c:v>0.82988620388322265</c:v>
                </c:pt>
                <c:pt idx="11">
                  <c:v>0.91005740043000782</c:v>
                </c:pt>
                <c:pt idx="12">
                  <c:v>0.98879276415391371</c:v>
                </c:pt>
                <c:pt idx="13">
                  <c:v>1.1354379862637229</c:v>
                </c:pt>
                <c:pt idx="14">
                  <c:v>1.2150925882852497</c:v>
                </c:pt>
                <c:pt idx="15">
                  <c:v>1.3101769368220706</c:v>
                </c:pt>
                <c:pt idx="16">
                  <c:v>1.3793469900132846</c:v>
                </c:pt>
                <c:pt idx="17">
                  <c:v>1.4577585775123769</c:v>
                </c:pt>
                <c:pt idx="18">
                  <c:v>1.5674585258644567</c:v>
                </c:pt>
              </c:numCache>
            </c:numRef>
          </c:val>
          <c:extLst>
            <c:ext xmlns:c16="http://schemas.microsoft.com/office/drawing/2014/chart" uri="{C3380CC4-5D6E-409C-BE32-E72D297353CC}">
              <c16:uniqueId val="{00000003-29A7-4AD9-B460-48B5DEE69F94}"/>
            </c:ext>
          </c:extLst>
        </c:ser>
        <c:dLbls>
          <c:showLegendKey val="0"/>
          <c:showVal val="0"/>
          <c:showCatName val="0"/>
          <c:showSerName val="0"/>
          <c:showPercent val="0"/>
          <c:showBubbleSize val="0"/>
        </c:dLbls>
        <c:gapWidth val="150"/>
        <c:overlap val="100"/>
        <c:axId val="452148864"/>
        <c:axId val="452146784"/>
      </c:barChart>
      <c:lineChart>
        <c:grouping val="stacked"/>
        <c:varyColors val="0"/>
        <c:ser>
          <c:idx val="4"/>
          <c:order val="4"/>
          <c:tx>
            <c:v>Debt-to-GDP ratio (right scale)</c:v>
          </c:tx>
          <c:spPr>
            <a:ln w="28575" cap="rnd">
              <a:solidFill>
                <a:sysClr val="windowText" lastClr="000000"/>
              </a:solidFill>
              <a:round/>
            </a:ln>
            <a:effectLst/>
          </c:spPr>
          <c:marker>
            <c:symbol val="circle"/>
            <c:size val="5"/>
            <c:spPr>
              <a:solidFill>
                <a:schemeClr val="accent4"/>
              </a:solidFill>
              <a:ln w="9525">
                <a:noFill/>
              </a:ln>
              <a:effectLst/>
            </c:spPr>
          </c:marker>
          <c:cat>
            <c:strLit>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1.2'!$AO$2:$BI$2</c15:sqref>
                  </c15:fullRef>
                </c:ext>
              </c:extLst>
              <c:f>'Figure 1.2'!$AO$2:$BG$2</c:f>
              <c:numCache>
                <c:formatCode>General</c:formatCode>
                <c:ptCount val="19"/>
                <c:pt idx="0">
                  <c:v>61.034049686658129</c:v>
                </c:pt>
                <c:pt idx="1">
                  <c:v>63.992578254537882</c:v>
                </c:pt>
                <c:pt idx="2">
                  <c:v>74.397868904261273</c:v>
                </c:pt>
                <c:pt idx="3">
                  <c:v>76.622122994783879</c:v>
                </c:pt>
                <c:pt idx="4">
                  <c:v>77.642461343509936</c:v>
                </c:pt>
                <c:pt idx="5">
                  <c:v>79.423028657785508</c:v>
                </c:pt>
                <c:pt idx="6">
                  <c:v>78.174620921085236</c:v>
                </c:pt>
                <c:pt idx="7">
                  <c:v>78.532348826170733</c:v>
                </c:pt>
                <c:pt idx="8">
                  <c:v>79.909919984120094</c:v>
                </c:pt>
                <c:pt idx="9">
                  <c:v>83.81833067489184</c:v>
                </c:pt>
                <c:pt idx="10">
                  <c:v>82.680870784376722</c:v>
                </c:pt>
                <c:pt idx="11">
                  <c:v>82.83114433938205</c:v>
                </c:pt>
                <c:pt idx="12">
                  <c:v>84.310771762407796</c:v>
                </c:pt>
                <c:pt idx="13">
                  <c:v>99.741742870525258</c:v>
                </c:pt>
                <c:pt idx="14">
                  <c:v>95.514492632161293</c:v>
                </c:pt>
                <c:pt idx="15">
                  <c:v>92.129029466987191</c:v>
                </c:pt>
                <c:pt idx="16">
                  <c:v>93.262750670302921</c:v>
                </c:pt>
                <c:pt idx="17">
                  <c:v>94.608527701653088</c:v>
                </c:pt>
                <c:pt idx="18">
                  <c:v>96.125145521087035</c:v>
                </c:pt>
              </c:numCache>
            </c:numRef>
          </c:val>
          <c:smooth val="0"/>
          <c:extLst>
            <c:ext xmlns:c16="http://schemas.microsoft.com/office/drawing/2014/chart" uri="{C3380CC4-5D6E-409C-BE32-E72D297353CC}">
              <c16:uniqueId val="{00000004-29A7-4AD9-B460-48B5DEE69F94}"/>
            </c:ext>
          </c:extLst>
        </c:ser>
        <c:dLbls>
          <c:showLegendKey val="0"/>
          <c:showVal val="0"/>
          <c:showCatName val="0"/>
          <c:showSerName val="0"/>
          <c:showPercent val="0"/>
          <c:showBubbleSize val="0"/>
        </c:dLbls>
        <c:marker val="1"/>
        <c:smooth val="0"/>
        <c:axId val="923532752"/>
        <c:axId val="923529840"/>
      </c:lineChart>
      <c:catAx>
        <c:axId val="452148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452146784"/>
        <c:crosses val="autoZero"/>
        <c:auto val="1"/>
        <c:lblAlgn val="ctr"/>
        <c:lblOffset val="100"/>
        <c:noMultiLvlLbl val="0"/>
      </c:catAx>
      <c:valAx>
        <c:axId val="452146784"/>
        <c:scaling>
          <c:orientation val="minMax"/>
          <c:min val="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452148864"/>
        <c:crosses val="autoZero"/>
        <c:crossBetween val="between"/>
      </c:valAx>
      <c:valAx>
        <c:axId val="923529840"/>
        <c:scaling>
          <c:orientation val="minMax"/>
          <c:min val="50"/>
        </c:scaling>
        <c:delete val="0"/>
        <c:axPos val="r"/>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923532752"/>
        <c:crosses val="max"/>
        <c:crossBetween val="between"/>
        <c:majorUnit val="10"/>
      </c:valAx>
      <c:catAx>
        <c:axId val="923532752"/>
        <c:scaling>
          <c:orientation val="minMax"/>
        </c:scaling>
        <c:delete val="1"/>
        <c:axPos val="b"/>
        <c:majorTickMark val="out"/>
        <c:minorTickMark val="none"/>
        <c:tickLblPos val="nextTo"/>
        <c:crossAx val="923529840"/>
        <c:crosses val="autoZero"/>
        <c:auto val="1"/>
        <c:lblAlgn val="ctr"/>
        <c:lblOffset val="100"/>
        <c:noMultiLvlLbl val="0"/>
      </c:catAx>
      <c:spPr>
        <a:noFill/>
        <a:ln>
          <a:noFill/>
        </a:ln>
        <a:effectLst/>
      </c:spPr>
    </c:plotArea>
    <c:legend>
      <c:legendPos val="b"/>
      <c:layout>
        <c:manualLayout>
          <c:xMode val="edge"/>
          <c:yMode val="edge"/>
          <c:x val="5.6502101896490589E-2"/>
          <c:y val="3.024448523987425E-2"/>
          <c:w val="0.84823129921259843"/>
          <c:h val="0.22024211295026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6271266110138"/>
          <c:y val="2.9962546816479401E-2"/>
          <c:w val="0.82488572141714556"/>
          <c:h val="0.83758146419687096"/>
        </c:manualLayout>
      </c:layout>
      <c:scatterChart>
        <c:scatterStyle val="smoothMarker"/>
        <c:varyColors val="0"/>
        <c:ser>
          <c:idx val="0"/>
          <c:order val="0"/>
          <c:tx>
            <c:strRef>
              <c:f>'Figure 1.1.1'!$B$1</c:f>
              <c:strCache>
                <c:ptCount val="1"/>
                <c:pt idx="0">
                  <c:v>Mean growth, 1997–2007</c:v>
                </c:pt>
              </c:strCache>
            </c:strRef>
          </c:tx>
          <c:spPr>
            <a:ln w="19050" cap="rnd">
              <a:solidFill>
                <a:schemeClr val="accent1"/>
              </a:solidFill>
              <a:round/>
            </a:ln>
            <a:effectLst/>
          </c:spPr>
          <c:marker>
            <c:symbol val="none"/>
          </c:marker>
          <c:xVal>
            <c:numRef>
              <c:f>'Figure 1.1.1'!$A$2:$A$251</c:f>
              <c:numCache>
                <c:formatCode>0.00000</c:formatCode>
                <c:ptCount val="250"/>
                <c:pt idx="0">
                  <c:v>-2</c:v>
                </c:pt>
                <c:pt idx="1">
                  <c:v>-1.9837349653244019</c:v>
                </c:pt>
                <c:pt idx="2">
                  <c:v>-1.9674699306488037</c:v>
                </c:pt>
                <c:pt idx="3">
                  <c:v>-1.951204776763916</c:v>
                </c:pt>
                <c:pt idx="4">
                  <c:v>-1.9349397420883179</c:v>
                </c:pt>
                <c:pt idx="5">
                  <c:v>-1.9186747074127197</c:v>
                </c:pt>
                <c:pt idx="6">
                  <c:v>-1.9024096727371216</c:v>
                </c:pt>
                <c:pt idx="7">
                  <c:v>-1.8861445188522339</c:v>
                </c:pt>
                <c:pt idx="8">
                  <c:v>-1.8698794841766357</c:v>
                </c:pt>
                <c:pt idx="9">
                  <c:v>-1.8536144495010376</c:v>
                </c:pt>
                <c:pt idx="10">
                  <c:v>-1.8373494148254395</c:v>
                </c:pt>
                <c:pt idx="11">
                  <c:v>-1.8210843801498413</c:v>
                </c:pt>
                <c:pt idx="12">
                  <c:v>-1.8048192262649536</c:v>
                </c:pt>
                <c:pt idx="13">
                  <c:v>-1.7885541915893555</c:v>
                </c:pt>
                <c:pt idx="14">
                  <c:v>-1.7722891569137573</c:v>
                </c:pt>
                <c:pt idx="15">
                  <c:v>-1.7560241222381592</c:v>
                </c:pt>
                <c:pt idx="16">
                  <c:v>-1.739759087562561</c:v>
                </c:pt>
                <c:pt idx="17">
                  <c:v>-1.7234939336776733</c:v>
                </c:pt>
                <c:pt idx="18">
                  <c:v>-1.7072288990020752</c:v>
                </c:pt>
                <c:pt idx="19">
                  <c:v>-1.6909638643264771</c:v>
                </c:pt>
                <c:pt idx="20">
                  <c:v>-1.6746988296508789</c:v>
                </c:pt>
                <c:pt idx="21">
                  <c:v>-1.6584336757659912</c:v>
                </c:pt>
                <c:pt idx="22">
                  <c:v>-1.6421686410903931</c:v>
                </c:pt>
                <c:pt idx="23">
                  <c:v>-1.6259036064147949</c:v>
                </c:pt>
                <c:pt idx="24">
                  <c:v>-1.6096385717391968</c:v>
                </c:pt>
                <c:pt idx="25">
                  <c:v>-1.5933735370635986</c:v>
                </c:pt>
                <c:pt idx="26">
                  <c:v>-1.5771083831787109</c:v>
                </c:pt>
                <c:pt idx="27">
                  <c:v>-1.5608433485031128</c:v>
                </c:pt>
                <c:pt idx="28">
                  <c:v>-1.5445783138275146</c:v>
                </c:pt>
                <c:pt idx="29">
                  <c:v>-1.5283132791519165</c:v>
                </c:pt>
                <c:pt idx="30">
                  <c:v>-1.5120482444763184</c:v>
                </c:pt>
                <c:pt idx="31">
                  <c:v>-1.4957830905914307</c:v>
                </c:pt>
                <c:pt idx="32">
                  <c:v>-1.4795180559158325</c:v>
                </c:pt>
                <c:pt idx="33">
                  <c:v>-1.4632530212402344</c:v>
                </c:pt>
                <c:pt idx="34">
                  <c:v>-1.4469879865646362</c:v>
                </c:pt>
                <c:pt idx="35">
                  <c:v>-1.4307228326797485</c:v>
                </c:pt>
                <c:pt idx="36">
                  <c:v>-1.4144577980041504</c:v>
                </c:pt>
                <c:pt idx="37">
                  <c:v>-1.3981927633285522</c:v>
                </c:pt>
                <c:pt idx="38">
                  <c:v>-1.3819277286529541</c:v>
                </c:pt>
                <c:pt idx="39">
                  <c:v>-1.365662693977356</c:v>
                </c:pt>
                <c:pt idx="40">
                  <c:v>-1.3493975400924683</c:v>
                </c:pt>
                <c:pt idx="41">
                  <c:v>-1.3331325054168701</c:v>
                </c:pt>
                <c:pt idx="42">
                  <c:v>-1.316867470741272</c:v>
                </c:pt>
                <c:pt idx="43">
                  <c:v>-1.3006024360656738</c:v>
                </c:pt>
                <c:pt idx="44">
                  <c:v>-1.2843374013900757</c:v>
                </c:pt>
                <c:pt idx="45">
                  <c:v>-1.268072247505188</c:v>
                </c:pt>
                <c:pt idx="46">
                  <c:v>-1.2518072128295898</c:v>
                </c:pt>
                <c:pt idx="47">
                  <c:v>-1.2355421781539917</c:v>
                </c:pt>
                <c:pt idx="48">
                  <c:v>-1.2192771434783936</c:v>
                </c:pt>
                <c:pt idx="49">
                  <c:v>-1.2030119895935059</c:v>
                </c:pt>
                <c:pt idx="50">
                  <c:v>-1.1867469549179077</c:v>
                </c:pt>
                <c:pt idx="51">
                  <c:v>-1.1704819202423096</c:v>
                </c:pt>
                <c:pt idx="52">
                  <c:v>-1.1542168855667114</c:v>
                </c:pt>
                <c:pt idx="53">
                  <c:v>-1.1379518508911133</c:v>
                </c:pt>
                <c:pt idx="54">
                  <c:v>-1.1216866970062256</c:v>
                </c:pt>
                <c:pt idx="55">
                  <c:v>-1.1054216623306274</c:v>
                </c:pt>
                <c:pt idx="56">
                  <c:v>-1.0891566276550293</c:v>
                </c:pt>
                <c:pt idx="57">
                  <c:v>-1.0728915929794312</c:v>
                </c:pt>
                <c:pt idx="58">
                  <c:v>-1.056626558303833</c:v>
                </c:pt>
                <c:pt idx="59">
                  <c:v>-1.0403614044189453</c:v>
                </c:pt>
                <c:pt idx="60">
                  <c:v>-1.0240963697433472</c:v>
                </c:pt>
                <c:pt idx="61">
                  <c:v>-1.007831335067749</c:v>
                </c:pt>
                <c:pt idx="62">
                  <c:v>-0.9915662407875061</c:v>
                </c:pt>
                <c:pt idx="63">
                  <c:v>-0.97530120611190796</c:v>
                </c:pt>
                <c:pt idx="64">
                  <c:v>-0.95903617143630981</c:v>
                </c:pt>
                <c:pt idx="65">
                  <c:v>-0.94277107715606689</c:v>
                </c:pt>
                <c:pt idx="66">
                  <c:v>-0.92650604248046875</c:v>
                </c:pt>
                <c:pt idx="67">
                  <c:v>-0.91024094820022583</c:v>
                </c:pt>
                <c:pt idx="68">
                  <c:v>-0.89397591352462769</c:v>
                </c:pt>
                <c:pt idx="69">
                  <c:v>-0.87771081924438477</c:v>
                </c:pt>
                <c:pt idx="70">
                  <c:v>-0.86144578456878662</c:v>
                </c:pt>
                <c:pt idx="71">
                  <c:v>-0.84518074989318848</c:v>
                </c:pt>
                <c:pt idx="72">
                  <c:v>-0.82891565561294556</c:v>
                </c:pt>
                <c:pt idx="73">
                  <c:v>-0.81265062093734741</c:v>
                </c:pt>
                <c:pt idx="74">
                  <c:v>-0.79638552665710449</c:v>
                </c:pt>
                <c:pt idx="75">
                  <c:v>-0.78012049198150635</c:v>
                </c:pt>
                <c:pt idx="76">
                  <c:v>-0.76385539770126343</c:v>
                </c:pt>
                <c:pt idx="77">
                  <c:v>-0.74759036302566528</c:v>
                </c:pt>
                <c:pt idx="78">
                  <c:v>-0.73132532835006714</c:v>
                </c:pt>
                <c:pt idx="79">
                  <c:v>-0.71506023406982422</c:v>
                </c:pt>
                <c:pt idx="80">
                  <c:v>-0.69879519939422607</c:v>
                </c:pt>
                <c:pt idx="81">
                  <c:v>-0.68253010511398315</c:v>
                </c:pt>
                <c:pt idx="82">
                  <c:v>-0.66626507043838501</c:v>
                </c:pt>
                <c:pt idx="83">
                  <c:v>-0.64999997615814209</c:v>
                </c:pt>
                <c:pt idx="84">
                  <c:v>-0.63373494148254395</c:v>
                </c:pt>
                <c:pt idx="85">
                  <c:v>-0.6174699068069458</c:v>
                </c:pt>
                <c:pt idx="86">
                  <c:v>-0.60120481252670288</c:v>
                </c:pt>
                <c:pt idx="87">
                  <c:v>-0.58493977785110474</c:v>
                </c:pt>
                <c:pt idx="88">
                  <c:v>-0.56867468357086182</c:v>
                </c:pt>
                <c:pt idx="89">
                  <c:v>-0.55240964889526367</c:v>
                </c:pt>
                <c:pt idx="90">
                  <c:v>-0.53614455461502075</c:v>
                </c:pt>
                <c:pt idx="91">
                  <c:v>-0.51987951993942261</c:v>
                </c:pt>
                <c:pt idx="92">
                  <c:v>-0.50361448526382446</c:v>
                </c:pt>
                <c:pt idx="93">
                  <c:v>-0.48734939098358154</c:v>
                </c:pt>
                <c:pt idx="94">
                  <c:v>-0.47108432650566101</c:v>
                </c:pt>
                <c:pt idx="95">
                  <c:v>-0.45481929183006287</c:v>
                </c:pt>
                <c:pt idx="96">
                  <c:v>-0.43855422735214233</c:v>
                </c:pt>
                <c:pt idx="97">
                  <c:v>-0.4222891628742218</c:v>
                </c:pt>
                <c:pt idx="98">
                  <c:v>-0.40602409839630127</c:v>
                </c:pt>
                <c:pt idx="99">
                  <c:v>-0.38975903391838074</c:v>
                </c:pt>
                <c:pt idx="100">
                  <c:v>-0.37349396944046021</c:v>
                </c:pt>
                <c:pt idx="101">
                  <c:v>-0.35722890496253967</c:v>
                </c:pt>
                <c:pt idx="102">
                  <c:v>-0.34096387028694153</c:v>
                </c:pt>
                <c:pt idx="103">
                  <c:v>-0.324698805809021</c:v>
                </c:pt>
                <c:pt idx="104">
                  <c:v>-0.30843374133110046</c:v>
                </c:pt>
                <c:pt idx="105">
                  <c:v>-0.29216867685317993</c:v>
                </c:pt>
                <c:pt idx="106">
                  <c:v>-0.2759036123752594</c:v>
                </c:pt>
                <c:pt idx="107">
                  <c:v>-0.25963854789733887</c:v>
                </c:pt>
                <c:pt idx="108">
                  <c:v>-0.24337349832057953</c:v>
                </c:pt>
                <c:pt idx="109">
                  <c:v>-0.227108433842659</c:v>
                </c:pt>
                <c:pt idx="110">
                  <c:v>-0.21084336936473846</c:v>
                </c:pt>
                <c:pt idx="111">
                  <c:v>-0.19457831978797913</c:v>
                </c:pt>
                <c:pt idx="112">
                  <c:v>-0.17831325531005859</c:v>
                </c:pt>
                <c:pt idx="113">
                  <c:v>-0.16204819083213806</c:v>
                </c:pt>
                <c:pt idx="114">
                  <c:v>-0.14578312635421753</c:v>
                </c:pt>
                <c:pt idx="115">
                  <c:v>-0.12951807677745819</c:v>
                </c:pt>
                <c:pt idx="116">
                  <c:v>-0.11325301229953766</c:v>
                </c:pt>
                <c:pt idx="117">
                  <c:v>-9.6987955272197723E-2</c:v>
                </c:pt>
                <c:pt idx="118">
                  <c:v>-8.0722890794277191E-2</c:v>
                </c:pt>
                <c:pt idx="119">
                  <c:v>-6.4457833766937256E-2</c:v>
                </c:pt>
                <c:pt idx="120">
                  <c:v>-4.8192769289016724E-2</c:v>
                </c:pt>
                <c:pt idx="121">
                  <c:v>-3.1927712261676788E-2</c:v>
                </c:pt>
                <c:pt idx="122">
                  <c:v>-1.5662651509046555E-2</c:v>
                </c:pt>
                <c:pt idx="123">
                  <c:v>6.0240965103730559E-4</c:v>
                </c:pt>
                <c:pt idx="124">
                  <c:v>1.6867469996213913E-2</c:v>
                </c:pt>
                <c:pt idx="125">
                  <c:v>3.3132530748844147E-2</c:v>
                </c:pt>
                <c:pt idx="126">
                  <c:v>4.939759150147438E-2</c:v>
                </c:pt>
                <c:pt idx="127">
                  <c:v>6.5662652254104614E-2</c:v>
                </c:pt>
                <c:pt idx="128">
                  <c:v>8.192770928144455E-2</c:v>
                </c:pt>
                <c:pt idx="129">
                  <c:v>9.8192773759365082E-2</c:v>
                </c:pt>
                <c:pt idx="130">
                  <c:v>0.11445783078670502</c:v>
                </c:pt>
                <c:pt idx="131">
                  <c:v>0.13072289526462555</c:v>
                </c:pt>
                <c:pt idx="132">
                  <c:v>0.14698794484138489</c:v>
                </c:pt>
                <c:pt idx="133">
                  <c:v>0.16325300931930542</c:v>
                </c:pt>
                <c:pt idx="134">
                  <c:v>0.17951807379722595</c:v>
                </c:pt>
                <c:pt idx="135">
                  <c:v>0.19578313827514648</c:v>
                </c:pt>
                <c:pt idx="136">
                  <c:v>0.21204818785190582</c:v>
                </c:pt>
                <c:pt idx="137">
                  <c:v>0.22831325232982635</c:v>
                </c:pt>
                <c:pt idx="138">
                  <c:v>0.24457831680774689</c:v>
                </c:pt>
                <c:pt idx="139">
                  <c:v>0.26084336638450623</c:v>
                </c:pt>
                <c:pt idx="140">
                  <c:v>0.27710843086242676</c:v>
                </c:pt>
                <c:pt idx="141">
                  <c:v>0.29337349534034729</c:v>
                </c:pt>
                <c:pt idx="142">
                  <c:v>0.30963855981826782</c:v>
                </c:pt>
                <c:pt idx="143">
                  <c:v>0.32590362429618835</c:v>
                </c:pt>
                <c:pt idx="144">
                  <c:v>0.34216868877410889</c:v>
                </c:pt>
                <c:pt idx="145">
                  <c:v>0.35843372344970703</c:v>
                </c:pt>
                <c:pt idx="146">
                  <c:v>0.37469878792762756</c:v>
                </c:pt>
                <c:pt idx="147">
                  <c:v>0.3909638524055481</c:v>
                </c:pt>
                <c:pt idx="148">
                  <c:v>0.40722891688346863</c:v>
                </c:pt>
                <c:pt idx="149">
                  <c:v>0.42349398136138916</c:v>
                </c:pt>
                <c:pt idx="150">
                  <c:v>0.43975904583930969</c:v>
                </c:pt>
                <c:pt idx="151">
                  <c:v>0.45602411031723022</c:v>
                </c:pt>
                <c:pt idx="152">
                  <c:v>0.47228914499282837</c:v>
                </c:pt>
                <c:pt idx="153">
                  <c:v>0.4885542094707489</c:v>
                </c:pt>
                <c:pt idx="154">
                  <c:v>0.50481927394866943</c:v>
                </c:pt>
                <c:pt idx="155">
                  <c:v>0.52108430862426758</c:v>
                </c:pt>
                <c:pt idx="156">
                  <c:v>0.5373494029045105</c:v>
                </c:pt>
                <c:pt idx="157">
                  <c:v>0.55361443758010864</c:v>
                </c:pt>
                <c:pt idx="158">
                  <c:v>0.56987953186035156</c:v>
                </c:pt>
                <c:pt idx="159">
                  <c:v>0.58614456653594971</c:v>
                </c:pt>
                <c:pt idx="160">
                  <c:v>0.60240966081619263</c:v>
                </c:pt>
                <c:pt idx="161">
                  <c:v>0.61867469549179077</c:v>
                </c:pt>
                <c:pt idx="162">
                  <c:v>0.63493973016738892</c:v>
                </c:pt>
                <c:pt idx="163">
                  <c:v>0.65120482444763184</c:v>
                </c:pt>
                <c:pt idx="164">
                  <c:v>0.66746985912322998</c:v>
                </c:pt>
                <c:pt idx="165">
                  <c:v>0.6837349534034729</c:v>
                </c:pt>
                <c:pt idx="166">
                  <c:v>0.69999998807907104</c:v>
                </c:pt>
                <c:pt idx="167">
                  <c:v>0.71626508235931396</c:v>
                </c:pt>
                <c:pt idx="168">
                  <c:v>0.73253011703491211</c:v>
                </c:pt>
                <c:pt idx="169">
                  <c:v>0.74879515171051025</c:v>
                </c:pt>
                <c:pt idx="170">
                  <c:v>0.76506024599075317</c:v>
                </c:pt>
                <c:pt idx="171">
                  <c:v>0.78132528066635132</c:v>
                </c:pt>
                <c:pt idx="172">
                  <c:v>0.79759037494659424</c:v>
                </c:pt>
                <c:pt idx="173">
                  <c:v>0.81385540962219238</c:v>
                </c:pt>
                <c:pt idx="174">
                  <c:v>0.8301205039024353</c:v>
                </c:pt>
                <c:pt idx="175">
                  <c:v>0.84638553857803345</c:v>
                </c:pt>
                <c:pt idx="176">
                  <c:v>0.86265057325363159</c:v>
                </c:pt>
                <c:pt idx="177">
                  <c:v>0.87891566753387451</c:v>
                </c:pt>
                <c:pt idx="178">
                  <c:v>0.89518070220947266</c:v>
                </c:pt>
                <c:pt idx="179">
                  <c:v>0.91144579648971558</c:v>
                </c:pt>
                <c:pt idx="180">
                  <c:v>0.92771083116531372</c:v>
                </c:pt>
                <c:pt idx="181">
                  <c:v>0.94397592544555664</c:v>
                </c:pt>
                <c:pt idx="182">
                  <c:v>0.96024096012115479</c:v>
                </c:pt>
                <c:pt idx="183">
                  <c:v>0.97650599479675293</c:v>
                </c:pt>
                <c:pt idx="184">
                  <c:v>0.99277108907699585</c:v>
                </c:pt>
                <c:pt idx="185">
                  <c:v>1.0090361833572388</c:v>
                </c:pt>
                <c:pt idx="186">
                  <c:v>1.0253012180328369</c:v>
                </c:pt>
                <c:pt idx="187">
                  <c:v>1.0415662527084351</c:v>
                </c:pt>
                <c:pt idx="188">
                  <c:v>1.0578312873840332</c:v>
                </c:pt>
                <c:pt idx="189">
                  <c:v>1.0740964412689209</c:v>
                </c:pt>
                <c:pt idx="190">
                  <c:v>1.090361475944519</c:v>
                </c:pt>
                <c:pt idx="191">
                  <c:v>1.1066265106201172</c:v>
                </c:pt>
                <c:pt idx="192">
                  <c:v>1.1228915452957153</c:v>
                </c:pt>
                <c:pt idx="193">
                  <c:v>1.1391565799713135</c:v>
                </c:pt>
                <c:pt idx="194">
                  <c:v>1.1554217338562012</c:v>
                </c:pt>
                <c:pt idx="195">
                  <c:v>1.1716867685317993</c:v>
                </c:pt>
                <c:pt idx="196">
                  <c:v>1.1879518032073975</c:v>
                </c:pt>
                <c:pt idx="197">
                  <c:v>1.2042168378829956</c:v>
                </c:pt>
                <c:pt idx="198">
                  <c:v>1.2204818725585938</c:v>
                </c:pt>
                <c:pt idx="199">
                  <c:v>1.2367470264434814</c:v>
                </c:pt>
                <c:pt idx="200">
                  <c:v>1.2530120611190796</c:v>
                </c:pt>
                <c:pt idx="201">
                  <c:v>1.2692770957946777</c:v>
                </c:pt>
                <c:pt idx="202">
                  <c:v>1.2855421304702759</c:v>
                </c:pt>
                <c:pt idx="203">
                  <c:v>1.3018072843551636</c:v>
                </c:pt>
                <c:pt idx="204">
                  <c:v>1.3180723190307617</c:v>
                </c:pt>
                <c:pt idx="205">
                  <c:v>1.3343373537063599</c:v>
                </c:pt>
                <c:pt idx="206">
                  <c:v>1.350602388381958</c:v>
                </c:pt>
                <c:pt idx="207">
                  <c:v>1.3668674230575562</c:v>
                </c:pt>
                <c:pt idx="208">
                  <c:v>1.3831325769424438</c:v>
                </c:pt>
                <c:pt idx="209">
                  <c:v>1.399397611618042</c:v>
                </c:pt>
                <c:pt idx="210">
                  <c:v>1.4156626462936401</c:v>
                </c:pt>
                <c:pt idx="211">
                  <c:v>1.4319276809692383</c:v>
                </c:pt>
                <c:pt idx="212">
                  <c:v>1.4481927156448364</c:v>
                </c:pt>
                <c:pt idx="213">
                  <c:v>1.4644578695297241</c:v>
                </c:pt>
                <c:pt idx="214">
                  <c:v>1.4807229042053223</c:v>
                </c:pt>
                <c:pt idx="215">
                  <c:v>1.4969879388809204</c:v>
                </c:pt>
                <c:pt idx="216">
                  <c:v>1.5132529735565186</c:v>
                </c:pt>
                <c:pt idx="217">
                  <c:v>1.5295181274414063</c:v>
                </c:pt>
                <c:pt idx="218">
                  <c:v>1.5457831621170044</c:v>
                </c:pt>
                <c:pt idx="219">
                  <c:v>1.5620481967926025</c:v>
                </c:pt>
                <c:pt idx="220">
                  <c:v>1.5783132314682007</c:v>
                </c:pt>
                <c:pt idx="221">
                  <c:v>1.5945782661437988</c:v>
                </c:pt>
                <c:pt idx="222">
                  <c:v>1.6108434200286865</c:v>
                </c:pt>
                <c:pt idx="223">
                  <c:v>1.6271084547042847</c:v>
                </c:pt>
                <c:pt idx="224">
                  <c:v>1.6433734893798828</c:v>
                </c:pt>
                <c:pt idx="225">
                  <c:v>1.659638524055481</c:v>
                </c:pt>
                <c:pt idx="226">
                  <c:v>1.6759035587310791</c:v>
                </c:pt>
                <c:pt idx="227">
                  <c:v>1.6921687126159668</c:v>
                </c:pt>
                <c:pt idx="228">
                  <c:v>1.7084337472915649</c:v>
                </c:pt>
                <c:pt idx="229">
                  <c:v>1.7246987819671631</c:v>
                </c:pt>
                <c:pt idx="230">
                  <c:v>1.7409638166427612</c:v>
                </c:pt>
                <c:pt idx="231">
                  <c:v>1.7572289705276489</c:v>
                </c:pt>
                <c:pt idx="232">
                  <c:v>1.7734940052032471</c:v>
                </c:pt>
                <c:pt idx="233">
                  <c:v>1.7897590398788452</c:v>
                </c:pt>
                <c:pt idx="234">
                  <c:v>1.8060240745544434</c:v>
                </c:pt>
                <c:pt idx="235">
                  <c:v>1.8222891092300415</c:v>
                </c:pt>
                <c:pt idx="236">
                  <c:v>1.8385542631149292</c:v>
                </c:pt>
                <c:pt idx="237">
                  <c:v>1.8548192977905273</c:v>
                </c:pt>
                <c:pt idx="238">
                  <c:v>1.8710843324661255</c:v>
                </c:pt>
                <c:pt idx="239">
                  <c:v>1.8873493671417236</c:v>
                </c:pt>
                <c:pt idx="240">
                  <c:v>1.9036144018173218</c:v>
                </c:pt>
                <c:pt idx="241">
                  <c:v>1.9198795557022095</c:v>
                </c:pt>
                <c:pt idx="242">
                  <c:v>1.9361445903778076</c:v>
                </c:pt>
                <c:pt idx="243">
                  <c:v>1.9524096250534058</c:v>
                </c:pt>
                <c:pt idx="244">
                  <c:v>1.9686746597290039</c:v>
                </c:pt>
                <c:pt idx="245">
                  <c:v>1.9849398136138916</c:v>
                </c:pt>
                <c:pt idx="246">
                  <c:v>2.0012047290802002</c:v>
                </c:pt>
                <c:pt idx="247">
                  <c:v>2.0174698829650879</c:v>
                </c:pt>
                <c:pt idx="248">
                  <c:v>2.0337350368499756</c:v>
                </c:pt>
                <c:pt idx="249">
                  <c:v>2.0499999523162842</c:v>
                </c:pt>
              </c:numCache>
            </c:numRef>
          </c:xVal>
          <c:yVal>
            <c:numRef>
              <c:f>'Figure 1.1.1'!$B$2:$B$251</c:f>
              <c:numCache>
                <c:formatCode>0.00000</c:formatCode>
                <c:ptCount val="250"/>
                <c:pt idx="0">
                  <c:v>2.8340011875682664E-2</c:v>
                </c:pt>
                <c:pt idx="1">
                  <c:v>2.9621842962230149E-2</c:v>
                </c:pt>
                <c:pt idx="2">
                  <c:v>3.049794372721111E-2</c:v>
                </c:pt>
                <c:pt idx="3">
                  <c:v>3.0968316131207752E-2</c:v>
                </c:pt>
                <c:pt idx="4">
                  <c:v>3.1032953279387047E-2</c:v>
                </c:pt>
                <c:pt idx="5">
                  <c:v>3.0691860105999814E-2</c:v>
                </c:pt>
                <c:pt idx="6">
                  <c:v>2.9945036611046062E-2</c:v>
                </c:pt>
                <c:pt idx="7">
                  <c:v>2.8792472860411672E-2</c:v>
                </c:pt>
                <c:pt idx="8">
                  <c:v>2.7234185748656253E-2</c:v>
                </c:pt>
                <c:pt idx="9">
                  <c:v>2.5270168315334306E-2</c:v>
                </c:pt>
                <c:pt idx="10">
                  <c:v>2.290042056044584E-2</c:v>
                </c:pt>
                <c:pt idx="11">
                  <c:v>2.0124942483990858E-2</c:v>
                </c:pt>
                <c:pt idx="12">
                  <c:v>1.6943709283490288E-2</c:v>
                </c:pt>
                <c:pt idx="13">
                  <c:v>1.3356767590233628E-2</c:v>
                </c:pt>
                <c:pt idx="14">
                  <c:v>9.3640955754104513E-3</c:v>
                </c:pt>
                <c:pt idx="15">
                  <c:v>4.9656932390207461E-3</c:v>
                </c:pt>
                <c:pt idx="16">
                  <c:v>1.6156058106453041E-4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3.0550229560083708E-4</c:v>
                </c:pt>
                <c:pt idx="46">
                  <c:v>5.0979573568464545E-3</c:v>
                </c:pt>
                <c:pt idx="47">
                  <c:v>9.484682096525544E-3</c:v>
                </c:pt>
                <c:pt idx="48">
                  <c:v>1.4052624075084412E-2</c:v>
                </c:pt>
                <c:pt idx="49">
                  <c:v>2.2397489302943548E-2</c:v>
                </c:pt>
                <c:pt idx="50">
                  <c:v>2.9930829753469598E-2</c:v>
                </c:pt>
                <c:pt idx="51">
                  <c:v>3.6652709560862605E-2</c:v>
                </c:pt>
                <c:pt idx="52">
                  <c:v>4.2563128725122572E-2</c:v>
                </c:pt>
                <c:pt idx="53">
                  <c:v>4.7662087246249492E-2</c:v>
                </c:pt>
                <c:pt idx="54">
                  <c:v>5.194961357437626E-2</c:v>
                </c:pt>
                <c:pt idx="55">
                  <c:v>5.5425644861899846E-2</c:v>
                </c:pt>
                <c:pt idx="56">
                  <c:v>5.8090215506290392E-2</c:v>
                </c:pt>
                <c:pt idx="57">
                  <c:v>5.994332550754787E-2</c:v>
                </c:pt>
                <c:pt idx="58">
                  <c:v>6.0984974865672323E-2</c:v>
                </c:pt>
                <c:pt idx="59">
                  <c:v>6.1215162294066754E-2</c:v>
                </c:pt>
                <c:pt idx="60">
                  <c:v>6.0633884418587858E-2</c:v>
                </c:pt>
                <c:pt idx="61">
                  <c:v>5.9241145899975915E-2</c:v>
                </c:pt>
                <c:pt idx="62">
                  <c:v>5.7036937173910209E-2</c:v>
                </c:pt>
                <c:pt idx="63">
                  <c:v>5.4021274395363555E-2</c:v>
                </c:pt>
                <c:pt idx="64">
                  <c:v>5.0194150973683856E-2</c:v>
                </c:pt>
                <c:pt idx="65">
                  <c:v>4.5555548423533612E-2</c:v>
                </c:pt>
                <c:pt idx="66">
                  <c:v>4.0105500741919209E-2</c:v>
                </c:pt>
                <c:pt idx="67">
                  <c:v>3.3843967984486072E-2</c:v>
                </c:pt>
                <c:pt idx="68">
                  <c:v>2.6770996042936951E-2</c:v>
                </c:pt>
                <c:pt idx="69">
                  <c:v>1.8886533078220955E-2</c:v>
                </c:pt>
                <c:pt idx="70">
                  <c:v>1.5442674003961345E-2</c:v>
                </c:pt>
                <c:pt idx="71">
                  <c:v>1.5799157399343927E-2</c:v>
                </c:pt>
                <c:pt idx="72">
                  <c:v>1.53441769974497E-2</c:v>
                </c:pt>
                <c:pt idx="73">
                  <c:v>1.5971519870839206E-2</c:v>
                </c:pt>
                <c:pt idx="74">
                  <c:v>1.9812274692080706E-2</c:v>
                </c:pt>
                <c:pt idx="75">
                  <c:v>2.7475344410265758E-2</c:v>
                </c:pt>
                <c:pt idx="76">
                  <c:v>3.4326977106799814E-2</c:v>
                </c:pt>
                <c:pt idx="77">
                  <c:v>4.0367122565050144E-2</c:v>
                </c:pt>
                <c:pt idx="78">
                  <c:v>4.5595807380167434E-2</c:v>
                </c:pt>
                <c:pt idx="79">
                  <c:v>5.0013046252616947E-2</c:v>
                </c:pt>
                <c:pt idx="80">
                  <c:v>5.3618806807799513E-2</c:v>
                </c:pt>
                <c:pt idx="81">
                  <c:v>5.8666098848146164E-2</c:v>
                </c:pt>
                <c:pt idx="82">
                  <c:v>6.5280624757487749E-2</c:v>
                </c:pt>
                <c:pt idx="83">
                  <c:v>7.0677977250876975E-2</c:v>
                </c:pt>
                <c:pt idx="84">
                  <c:v>7.4858116770316493E-2</c:v>
                </c:pt>
                <c:pt idx="85">
                  <c:v>7.7870772809645161E-2</c:v>
                </c:pt>
                <c:pt idx="86">
                  <c:v>9.0433661842447735E-2</c:v>
                </c:pt>
                <c:pt idx="87">
                  <c:v>0.11054989201961485</c:v>
                </c:pt>
                <c:pt idx="88">
                  <c:v>0.13131712346561286</c:v>
                </c:pt>
                <c:pt idx="89">
                  <c:v>0.14883843028868102</c:v>
                </c:pt>
                <c:pt idx="90">
                  <c:v>0.16433838027158804</c:v>
                </c:pt>
                <c:pt idx="91">
                  <c:v>0.18325013620267169</c:v>
                </c:pt>
                <c:pt idx="92">
                  <c:v>0.19989996780231309</c:v>
                </c:pt>
                <c:pt idx="93">
                  <c:v>0.21502026526847939</c:v>
                </c:pt>
                <c:pt idx="94">
                  <c:v>0.23085127510375816</c:v>
                </c:pt>
                <c:pt idx="95">
                  <c:v>0.24935330824889049</c:v>
                </c:pt>
                <c:pt idx="96">
                  <c:v>0.26553084725531528</c:v>
                </c:pt>
                <c:pt idx="97">
                  <c:v>0.28705200160012401</c:v>
                </c:pt>
                <c:pt idx="98">
                  <c:v>0.31115113884710516</c:v>
                </c:pt>
                <c:pt idx="99">
                  <c:v>0.34059743959449346</c:v>
                </c:pt>
                <c:pt idx="100">
                  <c:v>0.37340773444772801</c:v>
                </c:pt>
                <c:pt idx="101">
                  <c:v>0.40491456204309711</c:v>
                </c:pt>
                <c:pt idx="102">
                  <c:v>0.42966757598260896</c:v>
                </c:pt>
                <c:pt idx="103">
                  <c:v>0.44671173797974933</c:v>
                </c:pt>
                <c:pt idx="104">
                  <c:v>0.45770406718227602</c:v>
                </c:pt>
                <c:pt idx="105">
                  <c:v>0.46401187296040119</c:v>
                </c:pt>
                <c:pt idx="106">
                  <c:v>0.46732118677697604</c:v>
                </c:pt>
                <c:pt idx="107">
                  <c:v>0.47716039009217259</c:v>
                </c:pt>
                <c:pt idx="108">
                  <c:v>0.47816599709167684</c:v>
                </c:pt>
                <c:pt idx="109">
                  <c:v>0.48665008807929278</c:v>
                </c:pt>
                <c:pt idx="110">
                  <c:v>0.49917176078957615</c:v>
                </c:pt>
                <c:pt idx="111">
                  <c:v>0.51697514023615798</c:v>
                </c:pt>
                <c:pt idx="112">
                  <c:v>0.54016066712660227</c:v>
                </c:pt>
                <c:pt idx="113">
                  <c:v>0.55924345114748308</c:v>
                </c:pt>
                <c:pt idx="114">
                  <c:v>0.57378497059108757</c:v>
                </c:pt>
                <c:pt idx="115">
                  <c:v>0.58353047463081975</c:v>
                </c:pt>
                <c:pt idx="116">
                  <c:v>0.59782335231145578</c:v>
                </c:pt>
                <c:pt idx="117">
                  <c:v>0.60393465693723303</c:v>
                </c:pt>
                <c:pt idx="118">
                  <c:v>0.6182684714556429</c:v>
                </c:pt>
                <c:pt idx="119">
                  <c:v>0.63477878633335494</c:v>
                </c:pt>
                <c:pt idx="120">
                  <c:v>0.65166478279341256</c:v>
                </c:pt>
                <c:pt idx="121">
                  <c:v>0.67074506011086965</c:v>
                </c:pt>
                <c:pt idx="122">
                  <c:v>0.71464201542236749</c:v>
                </c:pt>
                <c:pt idx="123">
                  <c:v>0.76838175347560767</c:v>
                </c:pt>
                <c:pt idx="124">
                  <c:v>0.82436211346292887</c:v>
                </c:pt>
                <c:pt idx="125">
                  <c:v>0.87465252005685579</c:v>
                </c:pt>
                <c:pt idx="126">
                  <c:v>0.92118260667089946</c:v>
                </c:pt>
                <c:pt idx="127">
                  <c:v>0.96717845324995355</c:v>
                </c:pt>
                <c:pt idx="128">
                  <c:v>1.0151165735238914</c:v>
                </c:pt>
                <c:pt idx="129">
                  <c:v>1.0595676610965774</c:v>
                </c:pt>
                <c:pt idx="130">
                  <c:v>1.1002125698963863</c:v>
                </c:pt>
                <c:pt idx="131">
                  <c:v>1.1292648360368507</c:v>
                </c:pt>
                <c:pt idx="132">
                  <c:v>1.1559664234585814</c:v>
                </c:pt>
                <c:pt idx="133">
                  <c:v>1.1740624526667351</c:v>
                </c:pt>
                <c:pt idx="134">
                  <c:v>1.2087117868374864</c:v>
                </c:pt>
                <c:pt idx="135">
                  <c:v>1.2401299631236338</c:v>
                </c:pt>
                <c:pt idx="136">
                  <c:v>1.2569319518876489</c:v>
                </c:pt>
                <c:pt idx="137">
                  <c:v>1.2638066520846838</c:v>
                </c:pt>
                <c:pt idx="138">
                  <c:v>1.2662527967718271</c:v>
                </c:pt>
                <c:pt idx="139">
                  <c:v>1.2578307820395958</c:v>
                </c:pt>
                <c:pt idx="140">
                  <c:v>1.2387231000042369</c:v>
                </c:pt>
                <c:pt idx="141">
                  <c:v>1.2070924960769362</c:v>
                </c:pt>
                <c:pt idx="142">
                  <c:v>1.1571973068847359</c:v>
                </c:pt>
                <c:pt idx="143">
                  <c:v>1.1033322391795088</c:v>
                </c:pt>
                <c:pt idx="144">
                  <c:v>1.0421107771561287</c:v>
                </c:pt>
                <c:pt idx="145">
                  <c:v>0.98658521411202027</c:v>
                </c:pt>
                <c:pt idx="146">
                  <c:v>0.93433466789279418</c:v>
                </c:pt>
                <c:pt idx="147">
                  <c:v>0.89107435187637485</c:v>
                </c:pt>
                <c:pt idx="148">
                  <c:v>0.84959948684510433</c:v>
                </c:pt>
                <c:pt idx="149">
                  <c:v>0.80208013149054114</c:v>
                </c:pt>
                <c:pt idx="150">
                  <c:v>0.74889424845856978</c:v>
                </c:pt>
                <c:pt idx="151">
                  <c:v>0.69270209164162888</c:v>
                </c:pt>
                <c:pt idx="152">
                  <c:v>0.64123045092608655</c:v>
                </c:pt>
                <c:pt idx="153">
                  <c:v>0.59501927236726004</c:v>
                </c:pt>
                <c:pt idx="154">
                  <c:v>0.55428587042335031</c:v>
                </c:pt>
                <c:pt idx="155">
                  <c:v>0.52309516543557721</c:v>
                </c:pt>
                <c:pt idx="156">
                  <c:v>0.49317111122597629</c:v>
                </c:pt>
                <c:pt idx="157">
                  <c:v>0.47298865717479949</c:v>
                </c:pt>
                <c:pt idx="158">
                  <c:v>0.45295733818253797</c:v>
                </c:pt>
                <c:pt idx="159">
                  <c:v>0.44110905697905539</c:v>
                </c:pt>
                <c:pt idx="160">
                  <c:v>0.42764488052735306</c:v>
                </c:pt>
                <c:pt idx="161">
                  <c:v>0.40665938653891526</c:v>
                </c:pt>
                <c:pt idx="162">
                  <c:v>0.38851002316456423</c:v>
                </c:pt>
                <c:pt idx="163">
                  <c:v>0.37483441204451551</c:v>
                </c:pt>
                <c:pt idx="164">
                  <c:v>0.35967352635555538</c:v>
                </c:pt>
                <c:pt idx="165">
                  <c:v>0.35081990926579798</c:v>
                </c:pt>
                <c:pt idx="166">
                  <c:v>0.33854747523382933</c:v>
                </c:pt>
                <c:pt idx="167">
                  <c:v>0.3232046394450907</c:v>
                </c:pt>
                <c:pt idx="168">
                  <c:v>0.30501289300975432</c:v>
                </c:pt>
                <c:pt idx="169">
                  <c:v>0.2878065954432425</c:v>
                </c:pt>
                <c:pt idx="170">
                  <c:v>0.28005716500492145</c:v>
                </c:pt>
                <c:pt idx="171">
                  <c:v>0.2740869334698347</c:v>
                </c:pt>
                <c:pt idx="172">
                  <c:v>0.26284215688264184</c:v>
                </c:pt>
                <c:pt idx="173">
                  <c:v>0.25397359199049413</c:v>
                </c:pt>
                <c:pt idx="174">
                  <c:v>0.24211750272129154</c:v>
                </c:pt>
                <c:pt idx="175">
                  <c:v>0.23377830499095914</c:v>
                </c:pt>
                <c:pt idx="176">
                  <c:v>0.22250604459082657</c:v>
                </c:pt>
                <c:pt idx="177">
                  <c:v>0.20677068481248026</c:v>
                </c:pt>
                <c:pt idx="178">
                  <c:v>0.18657234098270681</c:v>
                </c:pt>
                <c:pt idx="179">
                  <c:v>0.16931369777346475</c:v>
                </c:pt>
                <c:pt idx="180">
                  <c:v>0.16182113077898794</c:v>
                </c:pt>
                <c:pt idx="181">
                  <c:v>0.16342600483822151</c:v>
                </c:pt>
                <c:pt idx="182">
                  <c:v>0.16820535642864837</c:v>
                </c:pt>
                <c:pt idx="183">
                  <c:v>0.17014459576810956</c:v>
                </c:pt>
                <c:pt idx="184">
                  <c:v>0.16924371435133823</c:v>
                </c:pt>
                <c:pt idx="185">
                  <c:v>0.16550269986788269</c:v>
                </c:pt>
                <c:pt idx="186">
                  <c:v>0.15892158163876652</c:v>
                </c:pt>
                <c:pt idx="187">
                  <c:v>0.14950035115868474</c:v>
                </c:pt>
                <c:pt idx="188">
                  <c:v>0.13723900842763728</c:v>
                </c:pt>
                <c:pt idx="189">
                  <c:v>0.12415732905108286</c:v>
                </c:pt>
                <c:pt idx="190">
                  <c:v>0.11558312745954308</c:v>
                </c:pt>
                <c:pt idx="191">
                  <c:v>0.10920694488006147</c:v>
                </c:pt>
                <c:pt idx="192">
                  <c:v>0.10382200035855897</c:v>
                </c:pt>
                <c:pt idx="193">
                  <c:v>9.900041969991534E-2</c:v>
                </c:pt>
                <c:pt idx="194">
                  <c:v>9.2150129792660268E-2</c:v>
                </c:pt>
                <c:pt idx="195">
                  <c:v>8.772977532852462E-2</c:v>
                </c:pt>
                <c:pt idx="196">
                  <c:v>8.2393428840652691E-2</c:v>
                </c:pt>
                <c:pt idx="197">
                  <c:v>7.6193228016545544E-2</c:v>
                </c:pt>
                <c:pt idx="198">
                  <c:v>7.6667942543001286E-2</c:v>
                </c:pt>
                <c:pt idx="199">
                  <c:v>7.6654870199894351E-2</c:v>
                </c:pt>
                <c:pt idx="200">
                  <c:v>7.5018870718992867E-2</c:v>
                </c:pt>
                <c:pt idx="201">
                  <c:v>7.1759949951825289E-2</c:v>
                </c:pt>
                <c:pt idx="202">
                  <c:v>6.6878107898391631E-2</c:v>
                </c:pt>
                <c:pt idx="203">
                  <c:v>6.0373290936760568E-2</c:v>
                </c:pt>
                <c:pt idx="204">
                  <c:v>5.5815309720729067E-2</c:v>
                </c:pt>
                <c:pt idx="205">
                  <c:v>5.5414315712947422E-2</c:v>
                </c:pt>
                <c:pt idx="206">
                  <c:v>5.5474817974896493E-2</c:v>
                </c:pt>
                <c:pt idx="207">
                  <c:v>5.4723859593712523E-2</c:v>
                </c:pt>
                <c:pt idx="208">
                  <c:v>5.3161426144462239E-2</c:v>
                </c:pt>
                <c:pt idx="209">
                  <c:v>5.0787540529674914E-2</c:v>
                </c:pt>
                <c:pt idx="210">
                  <c:v>4.7602194271754557E-2</c:v>
                </c:pt>
                <c:pt idx="211">
                  <c:v>4.3605387370701146E-2</c:v>
                </c:pt>
                <c:pt idx="212">
                  <c:v>3.8797119826514695E-2</c:v>
                </c:pt>
                <c:pt idx="213">
                  <c:v>3.3177347477532058E-2</c:v>
                </c:pt>
                <c:pt idx="214">
                  <c:v>2.7123655988842841E-2</c:v>
                </c:pt>
                <c:pt idx="215">
                  <c:v>2.5134356424827344E-2</c:v>
                </c:pt>
                <c:pt idx="216">
                  <c:v>2.2739326539245326E-2</c:v>
                </c:pt>
                <c:pt idx="217">
                  <c:v>1.9938544317989196E-2</c:v>
                </c:pt>
                <c:pt idx="218">
                  <c:v>1.6732050815605505E-2</c:v>
                </c:pt>
                <c:pt idx="219">
                  <c:v>1.3119826991655302E-2</c:v>
                </c:pt>
                <c:pt idx="220">
                  <c:v>9.1018728461385694E-3</c:v>
                </c:pt>
                <c:pt idx="221">
                  <c:v>4.6781883790553234E-3</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4.5059566659464822E-3</c:v>
                </c:pt>
                <c:pt idx="238">
                  <c:v>8.9447206066532291E-3</c:v>
                </c:pt>
                <c:pt idx="239">
                  <c:v>1.2977754225793461E-2</c:v>
                </c:pt>
                <c:pt idx="240">
                  <c:v>1.6605057523367165E-2</c:v>
                </c:pt>
                <c:pt idx="241">
                  <c:v>1.9826652624002052E-2</c:v>
                </c:pt>
                <c:pt idx="242">
                  <c:v>2.2642492304774092E-2</c:v>
                </c:pt>
                <c:pt idx="243">
                  <c:v>2.5052601663979598E-2</c:v>
                </c:pt>
                <c:pt idx="244">
                  <c:v>2.7056980701618594E-2</c:v>
                </c:pt>
                <c:pt idx="245">
                  <c:v>2.8655639647622456E-2</c:v>
                </c:pt>
                <c:pt idx="246">
                  <c:v>2.9848547812197018E-2</c:v>
                </c:pt>
                <c:pt idx="247">
                  <c:v>3.0635740167730571E-2</c:v>
                </c:pt>
                <c:pt idx="248">
                  <c:v>3.1017196254338551E-2</c:v>
                </c:pt>
                <c:pt idx="249">
                  <c:v>3.0992919401572609E-2</c:v>
                </c:pt>
              </c:numCache>
            </c:numRef>
          </c:yVal>
          <c:smooth val="1"/>
          <c:extLst>
            <c:ext xmlns:c16="http://schemas.microsoft.com/office/drawing/2014/chart" uri="{C3380CC4-5D6E-409C-BE32-E72D297353CC}">
              <c16:uniqueId val="{00000000-E51B-4991-9576-46CD0CA23939}"/>
            </c:ext>
          </c:extLst>
        </c:ser>
        <c:ser>
          <c:idx val="1"/>
          <c:order val="1"/>
          <c:tx>
            <c:strRef>
              <c:f>'Figure 1.1.1'!$C$1</c:f>
              <c:strCache>
                <c:ptCount val="1"/>
                <c:pt idx="0">
                  <c:v>Mean growth, 2008–2018</c:v>
                </c:pt>
              </c:strCache>
            </c:strRef>
          </c:tx>
          <c:spPr>
            <a:ln w="19050" cap="rnd">
              <a:solidFill>
                <a:srgbClr val="C00000"/>
              </a:solidFill>
              <a:round/>
            </a:ln>
            <a:effectLst/>
          </c:spPr>
          <c:marker>
            <c:symbol val="none"/>
          </c:marker>
          <c:xVal>
            <c:numRef>
              <c:f>'Figure 1.1.1'!$A$2:$A$251</c:f>
              <c:numCache>
                <c:formatCode>0.00000</c:formatCode>
                <c:ptCount val="250"/>
                <c:pt idx="0">
                  <c:v>-2</c:v>
                </c:pt>
                <c:pt idx="1">
                  <c:v>-1.9837349653244019</c:v>
                </c:pt>
                <c:pt idx="2">
                  <c:v>-1.9674699306488037</c:v>
                </c:pt>
                <c:pt idx="3">
                  <c:v>-1.951204776763916</c:v>
                </c:pt>
                <c:pt idx="4">
                  <c:v>-1.9349397420883179</c:v>
                </c:pt>
                <c:pt idx="5">
                  <c:v>-1.9186747074127197</c:v>
                </c:pt>
                <c:pt idx="6">
                  <c:v>-1.9024096727371216</c:v>
                </c:pt>
                <c:pt idx="7">
                  <c:v>-1.8861445188522339</c:v>
                </c:pt>
                <c:pt idx="8">
                  <c:v>-1.8698794841766357</c:v>
                </c:pt>
                <c:pt idx="9">
                  <c:v>-1.8536144495010376</c:v>
                </c:pt>
                <c:pt idx="10">
                  <c:v>-1.8373494148254395</c:v>
                </c:pt>
                <c:pt idx="11">
                  <c:v>-1.8210843801498413</c:v>
                </c:pt>
                <c:pt idx="12">
                  <c:v>-1.8048192262649536</c:v>
                </c:pt>
                <c:pt idx="13">
                  <c:v>-1.7885541915893555</c:v>
                </c:pt>
                <c:pt idx="14">
                  <c:v>-1.7722891569137573</c:v>
                </c:pt>
                <c:pt idx="15">
                  <c:v>-1.7560241222381592</c:v>
                </c:pt>
                <c:pt idx="16">
                  <c:v>-1.739759087562561</c:v>
                </c:pt>
                <c:pt idx="17">
                  <c:v>-1.7234939336776733</c:v>
                </c:pt>
                <c:pt idx="18">
                  <c:v>-1.7072288990020752</c:v>
                </c:pt>
                <c:pt idx="19">
                  <c:v>-1.6909638643264771</c:v>
                </c:pt>
                <c:pt idx="20">
                  <c:v>-1.6746988296508789</c:v>
                </c:pt>
                <c:pt idx="21">
                  <c:v>-1.6584336757659912</c:v>
                </c:pt>
                <c:pt idx="22">
                  <c:v>-1.6421686410903931</c:v>
                </c:pt>
                <c:pt idx="23">
                  <c:v>-1.6259036064147949</c:v>
                </c:pt>
                <c:pt idx="24">
                  <c:v>-1.6096385717391968</c:v>
                </c:pt>
                <c:pt idx="25">
                  <c:v>-1.5933735370635986</c:v>
                </c:pt>
                <c:pt idx="26">
                  <c:v>-1.5771083831787109</c:v>
                </c:pt>
                <c:pt idx="27">
                  <c:v>-1.5608433485031128</c:v>
                </c:pt>
                <c:pt idx="28">
                  <c:v>-1.5445783138275146</c:v>
                </c:pt>
                <c:pt idx="29">
                  <c:v>-1.5283132791519165</c:v>
                </c:pt>
                <c:pt idx="30">
                  <c:v>-1.5120482444763184</c:v>
                </c:pt>
                <c:pt idx="31">
                  <c:v>-1.4957830905914307</c:v>
                </c:pt>
                <c:pt idx="32">
                  <c:v>-1.4795180559158325</c:v>
                </c:pt>
                <c:pt idx="33">
                  <c:v>-1.4632530212402344</c:v>
                </c:pt>
                <c:pt idx="34">
                  <c:v>-1.4469879865646362</c:v>
                </c:pt>
                <c:pt idx="35">
                  <c:v>-1.4307228326797485</c:v>
                </c:pt>
                <c:pt idx="36">
                  <c:v>-1.4144577980041504</c:v>
                </c:pt>
                <c:pt idx="37">
                  <c:v>-1.3981927633285522</c:v>
                </c:pt>
                <c:pt idx="38">
                  <c:v>-1.3819277286529541</c:v>
                </c:pt>
                <c:pt idx="39">
                  <c:v>-1.365662693977356</c:v>
                </c:pt>
                <c:pt idx="40">
                  <c:v>-1.3493975400924683</c:v>
                </c:pt>
                <c:pt idx="41">
                  <c:v>-1.3331325054168701</c:v>
                </c:pt>
                <c:pt idx="42">
                  <c:v>-1.316867470741272</c:v>
                </c:pt>
                <c:pt idx="43">
                  <c:v>-1.3006024360656738</c:v>
                </c:pt>
                <c:pt idx="44">
                  <c:v>-1.2843374013900757</c:v>
                </c:pt>
                <c:pt idx="45">
                  <c:v>-1.268072247505188</c:v>
                </c:pt>
                <c:pt idx="46">
                  <c:v>-1.2518072128295898</c:v>
                </c:pt>
                <c:pt idx="47">
                  <c:v>-1.2355421781539917</c:v>
                </c:pt>
                <c:pt idx="48">
                  <c:v>-1.2192771434783936</c:v>
                </c:pt>
                <c:pt idx="49">
                  <c:v>-1.2030119895935059</c:v>
                </c:pt>
                <c:pt idx="50">
                  <c:v>-1.1867469549179077</c:v>
                </c:pt>
                <c:pt idx="51">
                  <c:v>-1.1704819202423096</c:v>
                </c:pt>
                <c:pt idx="52">
                  <c:v>-1.1542168855667114</c:v>
                </c:pt>
                <c:pt idx="53">
                  <c:v>-1.1379518508911133</c:v>
                </c:pt>
                <c:pt idx="54">
                  <c:v>-1.1216866970062256</c:v>
                </c:pt>
                <c:pt idx="55">
                  <c:v>-1.1054216623306274</c:v>
                </c:pt>
                <c:pt idx="56">
                  <c:v>-1.0891566276550293</c:v>
                </c:pt>
                <c:pt idx="57">
                  <c:v>-1.0728915929794312</c:v>
                </c:pt>
                <c:pt idx="58">
                  <c:v>-1.056626558303833</c:v>
                </c:pt>
                <c:pt idx="59">
                  <c:v>-1.0403614044189453</c:v>
                </c:pt>
                <c:pt idx="60">
                  <c:v>-1.0240963697433472</c:v>
                </c:pt>
                <c:pt idx="61">
                  <c:v>-1.007831335067749</c:v>
                </c:pt>
                <c:pt idx="62">
                  <c:v>-0.9915662407875061</c:v>
                </c:pt>
                <c:pt idx="63">
                  <c:v>-0.97530120611190796</c:v>
                </c:pt>
                <c:pt idx="64">
                  <c:v>-0.95903617143630981</c:v>
                </c:pt>
                <c:pt idx="65">
                  <c:v>-0.94277107715606689</c:v>
                </c:pt>
                <c:pt idx="66">
                  <c:v>-0.92650604248046875</c:v>
                </c:pt>
                <c:pt idx="67">
                  <c:v>-0.91024094820022583</c:v>
                </c:pt>
                <c:pt idx="68">
                  <c:v>-0.89397591352462769</c:v>
                </c:pt>
                <c:pt idx="69">
                  <c:v>-0.87771081924438477</c:v>
                </c:pt>
                <c:pt idx="70">
                  <c:v>-0.86144578456878662</c:v>
                </c:pt>
                <c:pt idx="71">
                  <c:v>-0.84518074989318848</c:v>
                </c:pt>
                <c:pt idx="72">
                  <c:v>-0.82891565561294556</c:v>
                </c:pt>
                <c:pt idx="73">
                  <c:v>-0.81265062093734741</c:v>
                </c:pt>
                <c:pt idx="74">
                  <c:v>-0.79638552665710449</c:v>
                </c:pt>
                <c:pt idx="75">
                  <c:v>-0.78012049198150635</c:v>
                </c:pt>
                <c:pt idx="76">
                  <c:v>-0.76385539770126343</c:v>
                </c:pt>
                <c:pt idx="77">
                  <c:v>-0.74759036302566528</c:v>
                </c:pt>
                <c:pt idx="78">
                  <c:v>-0.73132532835006714</c:v>
                </c:pt>
                <c:pt idx="79">
                  <c:v>-0.71506023406982422</c:v>
                </c:pt>
                <c:pt idx="80">
                  <c:v>-0.69879519939422607</c:v>
                </c:pt>
                <c:pt idx="81">
                  <c:v>-0.68253010511398315</c:v>
                </c:pt>
                <c:pt idx="82">
                  <c:v>-0.66626507043838501</c:v>
                </c:pt>
                <c:pt idx="83">
                  <c:v>-0.64999997615814209</c:v>
                </c:pt>
                <c:pt idx="84">
                  <c:v>-0.63373494148254395</c:v>
                </c:pt>
                <c:pt idx="85">
                  <c:v>-0.6174699068069458</c:v>
                </c:pt>
                <c:pt idx="86">
                  <c:v>-0.60120481252670288</c:v>
                </c:pt>
                <c:pt idx="87">
                  <c:v>-0.58493977785110474</c:v>
                </c:pt>
                <c:pt idx="88">
                  <c:v>-0.56867468357086182</c:v>
                </c:pt>
                <c:pt idx="89">
                  <c:v>-0.55240964889526367</c:v>
                </c:pt>
                <c:pt idx="90">
                  <c:v>-0.53614455461502075</c:v>
                </c:pt>
                <c:pt idx="91">
                  <c:v>-0.51987951993942261</c:v>
                </c:pt>
                <c:pt idx="92">
                  <c:v>-0.50361448526382446</c:v>
                </c:pt>
                <c:pt idx="93">
                  <c:v>-0.48734939098358154</c:v>
                </c:pt>
                <c:pt idx="94">
                  <c:v>-0.47108432650566101</c:v>
                </c:pt>
                <c:pt idx="95">
                  <c:v>-0.45481929183006287</c:v>
                </c:pt>
                <c:pt idx="96">
                  <c:v>-0.43855422735214233</c:v>
                </c:pt>
                <c:pt idx="97">
                  <c:v>-0.4222891628742218</c:v>
                </c:pt>
                <c:pt idx="98">
                  <c:v>-0.40602409839630127</c:v>
                </c:pt>
                <c:pt idx="99">
                  <c:v>-0.38975903391838074</c:v>
                </c:pt>
                <c:pt idx="100">
                  <c:v>-0.37349396944046021</c:v>
                </c:pt>
                <c:pt idx="101">
                  <c:v>-0.35722890496253967</c:v>
                </c:pt>
                <c:pt idx="102">
                  <c:v>-0.34096387028694153</c:v>
                </c:pt>
                <c:pt idx="103">
                  <c:v>-0.324698805809021</c:v>
                </c:pt>
                <c:pt idx="104">
                  <c:v>-0.30843374133110046</c:v>
                </c:pt>
                <c:pt idx="105">
                  <c:v>-0.29216867685317993</c:v>
                </c:pt>
                <c:pt idx="106">
                  <c:v>-0.2759036123752594</c:v>
                </c:pt>
                <c:pt idx="107">
                  <c:v>-0.25963854789733887</c:v>
                </c:pt>
                <c:pt idx="108">
                  <c:v>-0.24337349832057953</c:v>
                </c:pt>
                <c:pt idx="109">
                  <c:v>-0.227108433842659</c:v>
                </c:pt>
                <c:pt idx="110">
                  <c:v>-0.21084336936473846</c:v>
                </c:pt>
                <c:pt idx="111">
                  <c:v>-0.19457831978797913</c:v>
                </c:pt>
                <c:pt idx="112">
                  <c:v>-0.17831325531005859</c:v>
                </c:pt>
                <c:pt idx="113">
                  <c:v>-0.16204819083213806</c:v>
                </c:pt>
                <c:pt idx="114">
                  <c:v>-0.14578312635421753</c:v>
                </c:pt>
                <c:pt idx="115">
                  <c:v>-0.12951807677745819</c:v>
                </c:pt>
                <c:pt idx="116">
                  <c:v>-0.11325301229953766</c:v>
                </c:pt>
                <c:pt idx="117">
                  <c:v>-9.6987955272197723E-2</c:v>
                </c:pt>
                <c:pt idx="118">
                  <c:v>-8.0722890794277191E-2</c:v>
                </c:pt>
                <c:pt idx="119">
                  <c:v>-6.4457833766937256E-2</c:v>
                </c:pt>
                <c:pt idx="120">
                  <c:v>-4.8192769289016724E-2</c:v>
                </c:pt>
                <c:pt idx="121">
                  <c:v>-3.1927712261676788E-2</c:v>
                </c:pt>
                <c:pt idx="122">
                  <c:v>-1.5662651509046555E-2</c:v>
                </c:pt>
                <c:pt idx="123">
                  <c:v>6.0240965103730559E-4</c:v>
                </c:pt>
                <c:pt idx="124">
                  <c:v>1.6867469996213913E-2</c:v>
                </c:pt>
                <c:pt idx="125">
                  <c:v>3.3132530748844147E-2</c:v>
                </c:pt>
                <c:pt idx="126">
                  <c:v>4.939759150147438E-2</c:v>
                </c:pt>
                <c:pt idx="127">
                  <c:v>6.5662652254104614E-2</c:v>
                </c:pt>
                <c:pt idx="128">
                  <c:v>8.192770928144455E-2</c:v>
                </c:pt>
                <c:pt idx="129">
                  <c:v>9.8192773759365082E-2</c:v>
                </c:pt>
                <c:pt idx="130">
                  <c:v>0.11445783078670502</c:v>
                </c:pt>
                <c:pt idx="131">
                  <c:v>0.13072289526462555</c:v>
                </c:pt>
                <c:pt idx="132">
                  <c:v>0.14698794484138489</c:v>
                </c:pt>
                <c:pt idx="133">
                  <c:v>0.16325300931930542</c:v>
                </c:pt>
                <c:pt idx="134">
                  <c:v>0.17951807379722595</c:v>
                </c:pt>
                <c:pt idx="135">
                  <c:v>0.19578313827514648</c:v>
                </c:pt>
                <c:pt idx="136">
                  <c:v>0.21204818785190582</c:v>
                </c:pt>
                <c:pt idx="137">
                  <c:v>0.22831325232982635</c:v>
                </c:pt>
                <c:pt idx="138">
                  <c:v>0.24457831680774689</c:v>
                </c:pt>
                <c:pt idx="139">
                  <c:v>0.26084336638450623</c:v>
                </c:pt>
                <c:pt idx="140">
                  <c:v>0.27710843086242676</c:v>
                </c:pt>
                <c:pt idx="141">
                  <c:v>0.29337349534034729</c:v>
                </c:pt>
                <c:pt idx="142">
                  <c:v>0.30963855981826782</c:v>
                </c:pt>
                <c:pt idx="143">
                  <c:v>0.32590362429618835</c:v>
                </c:pt>
                <c:pt idx="144">
                  <c:v>0.34216868877410889</c:v>
                </c:pt>
                <c:pt idx="145">
                  <c:v>0.35843372344970703</c:v>
                </c:pt>
                <c:pt idx="146">
                  <c:v>0.37469878792762756</c:v>
                </c:pt>
                <c:pt idx="147">
                  <c:v>0.3909638524055481</c:v>
                </c:pt>
                <c:pt idx="148">
                  <c:v>0.40722891688346863</c:v>
                </c:pt>
                <c:pt idx="149">
                  <c:v>0.42349398136138916</c:v>
                </c:pt>
                <c:pt idx="150">
                  <c:v>0.43975904583930969</c:v>
                </c:pt>
                <c:pt idx="151">
                  <c:v>0.45602411031723022</c:v>
                </c:pt>
                <c:pt idx="152">
                  <c:v>0.47228914499282837</c:v>
                </c:pt>
                <c:pt idx="153">
                  <c:v>0.4885542094707489</c:v>
                </c:pt>
                <c:pt idx="154">
                  <c:v>0.50481927394866943</c:v>
                </c:pt>
                <c:pt idx="155">
                  <c:v>0.52108430862426758</c:v>
                </c:pt>
                <c:pt idx="156">
                  <c:v>0.5373494029045105</c:v>
                </c:pt>
                <c:pt idx="157">
                  <c:v>0.55361443758010864</c:v>
                </c:pt>
                <c:pt idx="158">
                  <c:v>0.56987953186035156</c:v>
                </c:pt>
                <c:pt idx="159">
                  <c:v>0.58614456653594971</c:v>
                </c:pt>
                <c:pt idx="160">
                  <c:v>0.60240966081619263</c:v>
                </c:pt>
                <c:pt idx="161">
                  <c:v>0.61867469549179077</c:v>
                </c:pt>
                <c:pt idx="162">
                  <c:v>0.63493973016738892</c:v>
                </c:pt>
                <c:pt idx="163">
                  <c:v>0.65120482444763184</c:v>
                </c:pt>
                <c:pt idx="164">
                  <c:v>0.66746985912322998</c:v>
                </c:pt>
                <c:pt idx="165">
                  <c:v>0.6837349534034729</c:v>
                </c:pt>
                <c:pt idx="166">
                  <c:v>0.69999998807907104</c:v>
                </c:pt>
                <c:pt idx="167">
                  <c:v>0.71626508235931396</c:v>
                </c:pt>
                <c:pt idx="168">
                  <c:v>0.73253011703491211</c:v>
                </c:pt>
                <c:pt idx="169">
                  <c:v>0.74879515171051025</c:v>
                </c:pt>
                <c:pt idx="170">
                  <c:v>0.76506024599075317</c:v>
                </c:pt>
                <c:pt idx="171">
                  <c:v>0.78132528066635132</c:v>
                </c:pt>
                <c:pt idx="172">
                  <c:v>0.79759037494659424</c:v>
                </c:pt>
                <c:pt idx="173">
                  <c:v>0.81385540962219238</c:v>
                </c:pt>
                <c:pt idx="174">
                  <c:v>0.8301205039024353</c:v>
                </c:pt>
                <c:pt idx="175">
                  <c:v>0.84638553857803345</c:v>
                </c:pt>
                <c:pt idx="176">
                  <c:v>0.86265057325363159</c:v>
                </c:pt>
                <c:pt idx="177">
                  <c:v>0.87891566753387451</c:v>
                </c:pt>
                <c:pt idx="178">
                  <c:v>0.89518070220947266</c:v>
                </c:pt>
                <c:pt idx="179">
                  <c:v>0.91144579648971558</c:v>
                </c:pt>
                <c:pt idx="180">
                  <c:v>0.92771083116531372</c:v>
                </c:pt>
                <c:pt idx="181">
                  <c:v>0.94397592544555664</c:v>
                </c:pt>
                <c:pt idx="182">
                  <c:v>0.96024096012115479</c:v>
                </c:pt>
                <c:pt idx="183">
                  <c:v>0.97650599479675293</c:v>
                </c:pt>
                <c:pt idx="184">
                  <c:v>0.99277108907699585</c:v>
                </c:pt>
                <c:pt idx="185">
                  <c:v>1.0090361833572388</c:v>
                </c:pt>
                <c:pt idx="186">
                  <c:v>1.0253012180328369</c:v>
                </c:pt>
                <c:pt idx="187">
                  <c:v>1.0415662527084351</c:v>
                </c:pt>
                <c:pt idx="188">
                  <c:v>1.0578312873840332</c:v>
                </c:pt>
                <c:pt idx="189">
                  <c:v>1.0740964412689209</c:v>
                </c:pt>
                <c:pt idx="190">
                  <c:v>1.090361475944519</c:v>
                </c:pt>
                <c:pt idx="191">
                  <c:v>1.1066265106201172</c:v>
                </c:pt>
                <c:pt idx="192">
                  <c:v>1.1228915452957153</c:v>
                </c:pt>
                <c:pt idx="193">
                  <c:v>1.1391565799713135</c:v>
                </c:pt>
                <c:pt idx="194">
                  <c:v>1.1554217338562012</c:v>
                </c:pt>
                <c:pt idx="195">
                  <c:v>1.1716867685317993</c:v>
                </c:pt>
                <c:pt idx="196">
                  <c:v>1.1879518032073975</c:v>
                </c:pt>
                <c:pt idx="197">
                  <c:v>1.2042168378829956</c:v>
                </c:pt>
                <c:pt idx="198">
                  <c:v>1.2204818725585938</c:v>
                </c:pt>
                <c:pt idx="199">
                  <c:v>1.2367470264434814</c:v>
                </c:pt>
                <c:pt idx="200">
                  <c:v>1.2530120611190796</c:v>
                </c:pt>
                <c:pt idx="201">
                  <c:v>1.2692770957946777</c:v>
                </c:pt>
                <c:pt idx="202">
                  <c:v>1.2855421304702759</c:v>
                </c:pt>
                <c:pt idx="203">
                  <c:v>1.3018072843551636</c:v>
                </c:pt>
                <c:pt idx="204">
                  <c:v>1.3180723190307617</c:v>
                </c:pt>
                <c:pt idx="205">
                  <c:v>1.3343373537063599</c:v>
                </c:pt>
                <c:pt idx="206">
                  <c:v>1.350602388381958</c:v>
                </c:pt>
                <c:pt idx="207">
                  <c:v>1.3668674230575562</c:v>
                </c:pt>
                <c:pt idx="208">
                  <c:v>1.3831325769424438</c:v>
                </c:pt>
                <c:pt idx="209">
                  <c:v>1.399397611618042</c:v>
                </c:pt>
                <c:pt idx="210">
                  <c:v>1.4156626462936401</c:v>
                </c:pt>
                <c:pt idx="211">
                  <c:v>1.4319276809692383</c:v>
                </c:pt>
                <c:pt idx="212">
                  <c:v>1.4481927156448364</c:v>
                </c:pt>
                <c:pt idx="213">
                  <c:v>1.4644578695297241</c:v>
                </c:pt>
                <c:pt idx="214">
                  <c:v>1.4807229042053223</c:v>
                </c:pt>
                <c:pt idx="215">
                  <c:v>1.4969879388809204</c:v>
                </c:pt>
                <c:pt idx="216">
                  <c:v>1.5132529735565186</c:v>
                </c:pt>
                <c:pt idx="217">
                  <c:v>1.5295181274414063</c:v>
                </c:pt>
                <c:pt idx="218">
                  <c:v>1.5457831621170044</c:v>
                </c:pt>
                <c:pt idx="219">
                  <c:v>1.5620481967926025</c:v>
                </c:pt>
                <c:pt idx="220">
                  <c:v>1.5783132314682007</c:v>
                </c:pt>
                <c:pt idx="221">
                  <c:v>1.5945782661437988</c:v>
                </c:pt>
                <c:pt idx="222">
                  <c:v>1.6108434200286865</c:v>
                </c:pt>
                <c:pt idx="223">
                  <c:v>1.6271084547042847</c:v>
                </c:pt>
                <c:pt idx="224">
                  <c:v>1.6433734893798828</c:v>
                </c:pt>
                <c:pt idx="225">
                  <c:v>1.659638524055481</c:v>
                </c:pt>
                <c:pt idx="226">
                  <c:v>1.6759035587310791</c:v>
                </c:pt>
                <c:pt idx="227">
                  <c:v>1.6921687126159668</c:v>
                </c:pt>
                <c:pt idx="228">
                  <c:v>1.7084337472915649</c:v>
                </c:pt>
                <c:pt idx="229">
                  <c:v>1.7246987819671631</c:v>
                </c:pt>
                <c:pt idx="230">
                  <c:v>1.7409638166427612</c:v>
                </c:pt>
                <c:pt idx="231">
                  <c:v>1.7572289705276489</c:v>
                </c:pt>
                <c:pt idx="232">
                  <c:v>1.7734940052032471</c:v>
                </c:pt>
                <c:pt idx="233">
                  <c:v>1.7897590398788452</c:v>
                </c:pt>
                <c:pt idx="234">
                  <c:v>1.8060240745544434</c:v>
                </c:pt>
                <c:pt idx="235">
                  <c:v>1.8222891092300415</c:v>
                </c:pt>
                <c:pt idx="236">
                  <c:v>1.8385542631149292</c:v>
                </c:pt>
                <c:pt idx="237">
                  <c:v>1.8548192977905273</c:v>
                </c:pt>
                <c:pt idx="238">
                  <c:v>1.8710843324661255</c:v>
                </c:pt>
                <c:pt idx="239">
                  <c:v>1.8873493671417236</c:v>
                </c:pt>
                <c:pt idx="240">
                  <c:v>1.9036144018173218</c:v>
                </c:pt>
                <c:pt idx="241">
                  <c:v>1.9198795557022095</c:v>
                </c:pt>
                <c:pt idx="242">
                  <c:v>1.9361445903778076</c:v>
                </c:pt>
                <c:pt idx="243">
                  <c:v>1.9524096250534058</c:v>
                </c:pt>
                <c:pt idx="244">
                  <c:v>1.9686746597290039</c:v>
                </c:pt>
                <c:pt idx="245">
                  <c:v>1.9849398136138916</c:v>
                </c:pt>
                <c:pt idx="246">
                  <c:v>2.0012047290802002</c:v>
                </c:pt>
                <c:pt idx="247">
                  <c:v>2.0174698829650879</c:v>
                </c:pt>
                <c:pt idx="248">
                  <c:v>2.0337350368499756</c:v>
                </c:pt>
                <c:pt idx="249">
                  <c:v>2.0499999523162842</c:v>
                </c:pt>
              </c:numCache>
            </c:numRef>
          </c:xVal>
          <c:yVal>
            <c:numRef>
              <c:f>'Figure 1.1.1'!$C$2:$C$251</c:f>
              <c:numCache>
                <c:formatCode>0.00000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2.591363820225713E-3</c:v>
                </c:pt>
                <c:pt idx="18">
                  <c:v>7.1945716361798435E-3</c:v>
                </c:pt>
                <c:pt idx="19">
                  <c:v>1.1392049130567454E-2</c:v>
                </c:pt>
                <c:pt idx="20">
                  <c:v>1.5183796303388552E-2</c:v>
                </c:pt>
                <c:pt idx="21">
                  <c:v>1.8569836484508804E-2</c:v>
                </c:pt>
                <c:pt idx="22">
                  <c:v>2.1550120040528226E-2</c:v>
                </c:pt>
                <c:pt idx="23">
                  <c:v>2.4124673274981127E-2</c:v>
                </c:pt>
                <c:pt idx="24">
                  <c:v>2.6293496187867506E-2</c:v>
                </c:pt>
                <c:pt idx="25">
                  <c:v>2.8056588779187364E-2</c:v>
                </c:pt>
                <c:pt idx="26">
                  <c:v>2.9413959510441432E-2</c:v>
                </c:pt>
                <c:pt idx="27">
                  <c:v>3.0365588484959623E-2</c:v>
                </c:pt>
                <c:pt idx="28">
                  <c:v>3.0911487137911291E-2</c:v>
                </c:pt>
                <c:pt idx="29">
                  <c:v>3.1051655469296432E-2</c:v>
                </c:pt>
                <c:pt idx="30">
                  <c:v>3.078609347911505E-2</c:v>
                </c:pt>
                <c:pt idx="31">
                  <c:v>3.0114794760502946E-2</c:v>
                </c:pt>
                <c:pt idx="32">
                  <c:v>2.90377691535199E-2</c:v>
                </c:pt>
                <c:pt idx="33">
                  <c:v>2.755501322497032E-2</c:v>
                </c:pt>
                <c:pt idx="34">
                  <c:v>2.5666526974854231E-2</c:v>
                </c:pt>
                <c:pt idx="35">
                  <c:v>2.3372292101611097E-2</c:v>
                </c:pt>
                <c:pt idx="36">
                  <c:v>2.0672342234693327E-2</c:v>
                </c:pt>
                <c:pt idx="37">
                  <c:v>1.7566662046209047E-2</c:v>
                </c:pt>
                <c:pt idx="38">
                  <c:v>1.4055251536158235E-2</c:v>
                </c:pt>
                <c:pt idx="39">
                  <c:v>1.0138110704540912E-2</c:v>
                </c:pt>
                <c:pt idx="40">
                  <c:v>5.8152063814315928E-3</c:v>
                </c:pt>
                <c:pt idx="41">
                  <c:v>1.0866019330125851E-3</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3.6294247055750893E-3</c:v>
                </c:pt>
                <c:pt idx="59">
                  <c:v>9.2006493171457385E-3</c:v>
                </c:pt>
                <c:pt idx="60">
                  <c:v>2.1378699254326367E-2</c:v>
                </c:pt>
                <c:pt idx="61">
                  <c:v>3.3947114902797781E-2</c:v>
                </c:pt>
                <c:pt idx="62">
                  <c:v>4.5298378953867499E-2</c:v>
                </c:pt>
                <c:pt idx="63">
                  <c:v>5.5432408212436841E-2</c:v>
                </c:pt>
                <c:pt idx="64">
                  <c:v>6.4349246506306634E-2</c:v>
                </c:pt>
                <c:pt idx="65">
                  <c:v>7.2048919821249516E-2</c:v>
                </c:pt>
                <c:pt idx="66">
                  <c:v>7.8531371725217236E-2</c:v>
                </c:pt>
                <c:pt idx="67">
                  <c:v>8.3796649729235811E-2</c:v>
                </c:pt>
                <c:pt idx="68">
                  <c:v>9.2650973895004304E-2</c:v>
                </c:pt>
                <c:pt idx="69">
                  <c:v>9.9894311553608381E-2</c:v>
                </c:pt>
                <c:pt idx="70">
                  <c:v>0.10551469840852945</c:v>
                </c:pt>
                <c:pt idx="71">
                  <c:v>0.10951216397718444</c:v>
                </c:pt>
                <c:pt idx="72">
                  <c:v>0.11188671398761937</c:v>
                </c:pt>
                <c:pt idx="73">
                  <c:v>0.11263833103640496</c:v>
                </c:pt>
                <c:pt idx="74">
                  <c:v>0.11176702063227417</c:v>
                </c:pt>
                <c:pt idx="75">
                  <c:v>0.10927278916119031</c:v>
                </c:pt>
                <c:pt idx="76">
                  <c:v>0.10935508306373334</c:v>
                </c:pt>
                <c:pt idx="77">
                  <c:v>0.10986859674981521</c:v>
                </c:pt>
                <c:pt idx="78">
                  <c:v>0.11123588958595892</c:v>
                </c:pt>
                <c:pt idx="79">
                  <c:v>0.11016879212174277</c:v>
                </c:pt>
                <c:pt idx="80">
                  <c:v>0.10901687649615108</c:v>
                </c:pt>
                <c:pt idx="81">
                  <c:v>0.11094408811445237</c:v>
                </c:pt>
                <c:pt idx="82">
                  <c:v>0.11133985738952504</c:v>
                </c:pt>
                <c:pt idx="83">
                  <c:v>0.11371066548126924</c:v>
                </c:pt>
                <c:pt idx="84">
                  <c:v>0.11562895858640623</c:v>
                </c:pt>
                <c:pt idx="85">
                  <c:v>0.12516742371916878</c:v>
                </c:pt>
                <c:pt idx="86">
                  <c:v>0.13504823744124342</c:v>
                </c:pt>
                <c:pt idx="87">
                  <c:v>0.14249462856444098</c:v>
                </c:pt>
                <c:pt idx="88">
                  <c:v>0.15209082058111964</c:v>
                </c:pt>
                <c:pt idx="89">
                  <c:v>0.16152483375947257</c:v>
                </c:pt>
                <c:pt idx="90">
                  <c:v>0.17031156461903957</c:v>
                </c:pt>
                <c:pt idx="91">
                  <c:v>0.17585241475910995</c:v>
                </c:pt>
                <c:pt idx="92">
                  <c:v>0.17942437119612839</c:v>
                </c:pt>
                <c:pt idx="93">
                  <c:v>0.18379865006386514</c:v>
                </c:pt>
                <c:pt idx="94">
                  <c:v>0.18533279565588698</c:v>
                </c:pt>
                <c:pt idx="95">
                  <c:v>0.18402682358398273</c:v>
                </c:pt>
                <c:pt idx="96">
                  <c:v>0.1813399715988952</c:v>
                </c:pt>
                <c:pt idx="97">
                  <c:v>0.17905161267856154</c:v>
                </c:pt>
                <c:pt idx="98">
                  <c:v>0.17599188156213516</c:v>
                </c:pt>
                <c:pt idx="99">
                  <c:v>0.18176990054671568</c:v>
                </c:pt>
                <c:pt idx="100">
                  <c:v>0.19300402770950539</c:v>
                </c:pt>
                <c:pt idx="101">
                  <c:v>0.20951065129954555</c:v>
                </c:pt>
                <c:pt idx="102">
                  <c:v>0.23467401971125337</c:v>
                </c:pt>
                <c:pt idx="103">
                  <c:v>0.26487126815862383</c:v>
                </c:pt>
                <c:pt idx="104">
                  <c:v>0.30329001582288745</c:v>
                </c:pt>
                <c:pt idx="105">
                  <c:v>0.34200991463973129</c:v>
                </c:pt>
                <c:pt idx="106">
                  <c:v>0.39225341618686815</c:v>
                </c:pt>
                <c:pt idx="107">
                  <c:v>0.43875276481932507</c:v>
                </c:pt>
                <c:pt idx="108">
                  <c:v>0.48086769696148834</c:v>
                </c:pt>
                <c:pt idx="109">
                  <c:v>0.52876626368894097</c:v>
                </c:pt>
                <c:pt idx="110">
                  <c:v>0.58087590906861286</c:v>
                </c:pt>
                <c:pt idx="111">
                  <c:v>0.63331574119782896</c:v>
                </c:pt>
                <c:pt idx="112">
                  <c:v>0.6895206369242729</c:v>
                </c:pt>
                <c:pt idx="113">
                  <c:v>0.74549772407392212</c:v>
                </c:pt>
                <c:pt idx="114">
                  <c:v>0.81650785712765594</c:v>
                </c:pt>
                <c:pt idx="115">
                  <c:v>0.89107645389054579</c:v>
                </c:pt>
                <c:pt idx="116">
                  <c:v>0.97251155219338359</c:v>
                </c:pt>
                <c:pt idx="117">
                  <c:v>1.0524193680830904</c:v>
                </c:pt>
                <c:pt idx="118">
                  <c:v>1.1288816776971458</c:v>
                </c:pt>
                <c:pt idx="119">
                  <c:v>1.1891202802917402</c:v>
                </c:pt>
                <c:pt idx="120">
                  <c:v>1.2323640433510741</c:v>
                </c:pt>
                <c:pt idx="121">
                  <c:v>1.2687410918423416</c:v>
                </c:pt>
                <c:pt idx="122">
                  <c:v>1.2981111783881387</c:v>
                </c:pt>
                <c:pt idx="123">
                  <c:v>1.3154667089167944</c:v>
                </c:pt>
                <c:pt idx="124">
                  <c:v>1.331427688243684</c:v>
                </c:pt>
                <c:pt idx="125">
                  <c:v>1.3402470939455007</c:v>
                </c:pt>
                <c:pt idx="126">
                  <c:v>1.3449307809542013</c:v>
                </c:pt>
                <c:pt idx="127">
                  <c:v>1.34960316391713</c:v>
                </c:pt>
                <c:pt idx="128">
                  <c:v>1.357049420399175</c:v>
                </c:pt>
                <c:pt idx="129">
                  <c:v>1.3761676816310091</c:v>
                </c:pt>
                <c:pt idx="130">
                  <c:v>1.3897217624000389</c:v>
                </c:pt>
                <c:pt idx="131">
                  <c:v>1.4033851885215451</c:v>
                </c:pt>
                <c:pt idx="132">
                  <c:v>1.3946482138053462</c:v>
                </c:pt>
                <c:pt idx="133">
                  <c:v>1.3761994567989426</c:v>
                </c:pt>
                <c:pt idx="134">
                  <c:v>1.3519689296664334</c:v>
                </c:pt>
                <c:pt idx="135">
                  <c:v>1.3258250162127718</c:v>
                </c:pt>
                <c:pt idx="136">
                  <c:v>1.2919100090453977</c:v>
                </c:pt>
                <c:pt idx="137">
                  <c:v>1.2469195637751593</c:v>
                </c:pt>
                <c:pt idx="138">
                  <c:v>1.189840487634847</c:v>
                </c:pt>
                <c:pt idx="139">
                  <c:v>1.1410929794511921</c:v>
                </c:pt>
                <c:pt idx="140">
                  <c:v>1.0932971384613586</c:v>
                </c:pt>
                <c:pt idx="141">
                  <c:v>1.0563500530198413</c:v>
                </c:pt>
                <c:pt idx="142">
                  <c:v>1.0204205804586044</c:v>
                </c:pt>
                <c:pt idx="143">
                  <c:v>0.98317808206769186</c:v>
                </c:pt>
                <c:pt idx="144">
                  <c:v>0.93993330591944269</c:v>
                </c:pt>
                <c:pt idx="145">
                  <c:v>0.88847927762693291</c:v>
                </c:pt>
                <c:pt idx="146">
                  <c:v>0.8332005551368683</c:v>
                </c:pt>
                <c:pt idx="147">
                  <c:v>0.77937949595079092</c:v>
                </c:pt>
                <c:pt idx="148">
                  <c:v>0.72261893532130561</c:v>
                </c:pt>
                <c:pt idx="149">
                  <c:v>0.66272507303041583</c:v>
                </c:pt>
                <c:pt idx="150">
                  <c:v>0.60093667019064823</c:v>
                </c:pt>
                <c:pt idx="151">
                  <c:v>0.54151536491374408</c:v>
                </c:pt>
                <c:pt idx="152">
                  <c:v>0.4856517774623893</c:v>
                </c:pt>
                <c:pt idx="153">
                  <c:v>0.44171963912153261</c:v>
                </c:pt>
                <c:pt idx="154">
                  <c:v>0.40930050936461493</c:v>
                </c:pt>
                <c:pt idx="155">
                  <c:v>0.38423475255272033</c:v>
                </c:pt>
                <c:pt idx="156">
                  <c:v>0.36278453234022329</c:v>
                </c:pt>
                <c:pt idx="157">
                  <c:v>0.33586431651993875</c:v>
                </c:pt>
                <c:pt idx="158">
                  <c:v>0.31040017907613615</c:v>
                </c:pt>
                <c:pt idx="159">
                  <c:v>0.28785641194262906</c:v>
                </c:pt>
                <c:pt idx="160">
                  <c:v>0.27615761751244072</c:v>
                </c:pt>
                <c:pt idx="161">
                  <c:v>0.26398393258527286</c:v>
                </c:pt>
                <c:pt idx="162">
                  <c:v>0.25063180145892294</c:v>
                </c:pt>
                <c:pt idx="163">
                  <c:v>0.24036450926313385</c:v>
                </c:pt>
                <c:pt idx="164">
                  <c:v>0.2343923637798965</c:v>
                </c:pt>
                <c:pt idx="165">
                  <c:v>0.22739185974809065</c:v>
                </c:pt>
                <c:pt idx="166">
                  <c:v>0.22126568682432898</c:v>
                </c:pt>
                <c:pt idx="167">
                  <c:v>0.21327210394593443</c:v>
                </c:pt>
                <c:pt idx="168">
                  <c:v>0.20367210772345684</c:v>
                </c:pt>
                <c:pt idx="169">
                  <c:v>0.19742592568682923</c:v>
                </c:pt>
                <c:pt idx="170">
                  <c:v>0.18752812779413375</c:v>
                </c:pt>
                <c:pt idx="171">
                  <c:v>0.17397878658779986</c:v>
                </c:pt>
                <c:pt idx="172">
                  <c:v>0.16288640924871611</c:v>
                </c:pt>
                <c:pt idx="173">
                  <c:v>0.15296154040742005</c:v>
                </c:pt>
                <c:pt idx="174">
                  <c:v>0.14249169203621423</c:v>
                </c:pt>
                <c:pt idx="175">
                  <c:v>0.13229172018893698</c:v>
                </c:pt>
                <c:pt idx="176">
                  <c:v>0.12268281180290901</c:v>
                </c:pt>
                <c:pt idx="177">
                  <c:v>0.1130758144917193</c:v>
                </c:pt>
                <c:pt idx="178">
                  <c:v>0.10640323772908064</c:v>
                </c:pt>
                <c:pt idx="179">
                  <c:v>9.8348134625202907E-2</c:v>
                </c:pt>
                <c:pt idx="180">
                  <c:v>8.8670136779913408E-2</c:v>
                </c:pt>
                <c:pt idx="181">
                  <c:v>7.7369173261469901E-2</c:v>
                </c:pt>
                <c:pt idx="182">
                  <c:v>6.4445326896310981E-2</c:v>
                </c:pt>
                <c:pt idx="183">
                  <c:v>4.9898559244885968E-2</c:v>
                </c:pt>
                <c:pt idx="184">
                  <c:v>3.6086533461343683E-2</c:v>
                </c:pt>
                <c:pt idx="185">
                  <c:v>2.3703876916143542E-2</c:v>
                </c:pt>
                <c:pt idx="186">
                  <c:v>1.2263826466750677E-2</c:v>
                </c:pt>
                <c:pt idx="187">
                  <c:v>8.5584382853834857E-3</c:v>
                </c:pt>
                <c:pt idx="188">
                  <c:v>1.1033038369872945E-2</c:v>
                </c:pt>
                <c:pt idx="189">
                  <c:v>1.4861111685242541E-2</c:v>
                </c:pt>
                <c:pt idx="190">
                  <c:v>1.8283425135796748E-2</c:v>
                </c:pt>
                <c:pt idx="191">
                  <c:v>2.1300008264784429E-2</c:v>
                </c:pt>
                <c:pt idx="192">
                  <c:v>2.3910861072205594E-2</c:v>
                </c:pt>
                <c:pt idx="193">
                  <c:v>2.6115983558060232E-2</c:v>
                </c:pt>
                <c:pt idx="194">
                  <c:v>2.7915387423563646E-2</c:v>
                </c:pt>
                <c:pt idx="195">
                  <c:v>2.9309046292616617E-2</c:v>
                </c:pt>
                <c:pt idx="196">
                  <c:v>3.0296974840103064E-2</c:v>
                </c:pt>
                <c:pt idx="197">
                  <c:v>3.0879173066022985E-2</c:v>
                </c:pt>
                <c:pt idx="198">
                  <c:v>3.1055640970376389E-2</c:v>
                </c:pt>
                <c:pt idx="199">
                  <c:v>3.082637538601363E-2</c:v>
                </c:pt>
                <c:pt idx="200">
                  <c:v>3.0191379673565361E-2</c:v>
                </c:pt>
                <c:pt idx="201">
                  <c:v>2.9150653639550567E-2</c:v>
                </c:pt>
                <c:pt idx="202">
                  <c:v>2.7704197283969261E-2</c:v>
                </c:pt>
                <c:pt idx="203">
                  <c:v>2.585199554497547E-2</c:v>
                </c:pt>
                <c:pt idx="204">
                  <c:v>2.359407557259249E-2</c:v>
                </c:pt>
                <c:pt idx="205">
                  <c:v>2.0930425278642983E-2</c:v>
                </c:pt>
                <c:pt idx="206">
                  <c:v>1.7861044663126966E-2</c:v>
                </c:pt>
                <c:pt idx="207">
                  <c:v>1.4385933726044416E-2</c:v>
                </c:pt>
                <c:pt idx="208">
                  <c:v>1.0505062537184444E-2</c:v>
                </c:pt>
                <c:pt idx="209">
                  <c:v>6.2184879833002225E-3</c:v>
                </c:pt>
                <c:pt idx="210">
                  <c:v>1.526183107849486E-3</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yVal>
          <c:smooth val="1"/>
          <c:extLst>
            <c:ext xmlns:c16="http://schemas.microsoft.com/office/drawing/2014/chart" uri="{C3380CC4-5D6E-409C-BE32-E72D297353CC}">
              <c16:uniqueId val="{00000001-E51B-4991-9576-46CD0CA23939}"/>
            </c:ext>
          </c:extLst>
        </c:ser>
        <c:dLbls>
          <c:showLegendKey val="0"/>
          <c:showVal val="0"/>
          <c:showCatName val="0"/>
          <c:showSerName val="0"/>
          <c:showPercent val="0"/>
          <c:showBubbleSize val="0"/>
        </c:dLbls>
        <c:axId val="1470582223"/>
        <c:axId val="1"/>
      </c:scatterChart>
      <c:valAx>
        <c:axId val="1470582223"/>
        <c:scaling>
          <c:orientation val="minMax"/>
          <c:min val="-2.2999999999999998"/>
        </c:scaling>
        <c:delete val="0"/>
        <c:axPos val="b"/>
        <c:numFmt formatCode="0.0" sourceLinked="0"/>
        <c:majorTickMark val="in"/>
        <c:minorTickMark val="none"/>
        <c:tickLblPos val="nextTo"/>
        <c:spPr>
          <a:noFill/>
          <a:ln w="9525" cap="flat" cmpd="sng" algn="ctr">
            <a:solidFill>
              <a:schemeClr val="tx1"/>
            </a:solidFill>
            <a:round/>
          </a:ln>
          <a:effectLst/>
        </c:spPr>
        <c:txPr>
          <a:bodyPr rot="0" vert="horz"/>
          <a:lstStyle/>
          <a:p>
            <a:pPr>
              <a:defRPr sz="1000" b="0" i="0" u="none" strike="noStrike" baseline="0">
                <a:solidFill>
                  <a:srgbClr val="333333"/>
                </a:solidFill>
                <a:latin typeface="HelveticaNeueLT Std"/>
                <a:ea typeface="HelveticaNeueLT Std"/>
                <a:cs typeface="HelveticaNeueLT Std"/>
              </a:defRPr>
            </a:pPr>
            <a:endParaRPr lang="en-US"/>
          </a:p>
        </c:txPr>
        <c:crossAx val="1"/>
        <c:crosses val="autoZero"/>
        <c:crossBetween val="midCat"/>
      </c:valAx>
      <c:valAx>
        <c:axId val="1"/>
        <c:scaling>
          <c:orientation val="minMax"/>
          <c:max val="1.5"/>
          <c:min val="0"/>
        </c:scaling>
        <c:delete val="0"/>
        <c:axPos val="l"/>
        <c:numFmt formatCode="0.0;\-0.0;" sourceLinked="0"/>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crossAx val="1470582223"/>
        <c:crossesAt val="0"/>
        <c:crossBetween val="midCat"/>
      </c:valAx>
      <c:spPr>
        <a:noFill/>
        <a:ln w="25400">
          <a:noFill/>
        </a:ln>
      </c:spPr>
    </c:plotArea>
    <c:legend>
      <c:legendPos val="r"/>
      <c:layout>
        <c:manualLayout>
          <c:xMode val="edge"/>
          <c:yMode val="edge"/>
          <c:x val="0.53338184136961186"/>
          <c:y val="8.6554415684984551E-2"/>
          <c:w val="0.41622992353721511"/>
          <c:h val="0.1267260130342715"/>
        </c:manualLayout>
      </c:layout>
      <c:overlay val="0"/>
      <c:spPr>
        <a:noFill/>
        <a:ln w="25400">
          <a:noFill/>
        </a:ln>
      </c:spPr>
      <c:txPr>
        <a:bodyPr rot="0" spcFirstLastPara="1" vertOverflow="ellipsis" vert="horz" wrap="square" anchor="ctr" anchorCtr="1"/>
        <a:lstStyle/>
        <a:p>
          <a:pPr>
            <a:defRPr sz="10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10922239870227E-2"/>
          <c:y val="4.1580956909693573E-2"/>
          <c:w val="0.83261481531546755"/>
          <c:h val="0.57531111452986672"/>
        </c:manualLayout>
      </c:layout>
      <c:barChart>
        <c:barDir val="col"/>
        <c:grouping val="clustered"/>
        <c:varyColors val="0"/>
        <c:ser>
          <c:idx val="0"/>
          <c:order val="0"/>
          <c:tx>
            <c:strRef>
              <c:f>'Figure 1.1.1'!$U$1</c:f>
              <c:strCache>
                <c:ptCount val="1"/>
                <c:pt idx="0">
                  <c:v>Mean 1997-2007</c:v>
                </c:pt>
              </c:strCache>
            </c:strRef>
          </c:tx>
          <c:spPr>
            <a:solidFill>
              <a:srgbClr val="4472C4"/>
            </a:solidFill>
            <a:ln w="25400">
              <a:noFill/>
            </a:ln>
          </c:spPr>
          <c:invertIfNegative val="0"/>
          <c:cat>
            <c:strRef>
              <c:f>'Figure 1.1.1'!$T$2:$T$7</c:f>
              <c:strCache>
                <c:ptCount val="6"/>
                <c:pt idx="0">
                  <c:v>Total taxes</c:v>
                </c:pt>
                <c:pt idx="1">
                  <c:v>CIT</c:v>
                </c:pt>
                <c:pt idx="2">
                  <c:v>Indirect taxes</c:v>
                </c:pt>
                <c:pt idx="3">
                  <c:v>Property and wealth taxes</c:v>
                </c:pt>
                <c:pt idx="4">
                  <c:v>PIT</c:v>
                </c:pt>
                <c:pt idx="5">
                  <c:v>Social contributions</c:v>
                </c:pt>
              </c:strCache>
            </c:strRef>
          </c:cat>
          <c:val>
            <c:numRef>
              <c:f>'Figure 1.1.1'!$U$2:$U$7</c:f>
              <c:numCache>
                <c:formatCode>0.00</c:formatCode>
                <c:ptCount val="6"/>
                <c:pt idx="0">
                  <c:v>0.27420011162757874</c:v>
                </c:pt>
                <c:pt idx="1">
                  <c:v>0.11325789242982864</c:v>
                </c:pt>
                <c:pt idx="2">
                  <c:v>0.10390335321426392</c:v>
                </c:pt>
                <c:pt idx="3">
                  <c:v>4.571981355547905E-2</c:v>
                </c:pt>
                <c:pt idx="4">
                  <c:v>3.3425081521272659E-2</c:v>
                </c:pt>
                <c:pt idx="5">
                  <c:v>2.3169185966253281E-2</c:v>
                </c:pt>
              </c:numCache>
            </c:numRef>
          </c:val>
          <c:extLst>
            <c:ext xmlns:c16="http://schemas.microsoft.com/office/drawing/2014/chart" uri="{C3380CC4-5D6E-409C-BE32-E72D297353CC}">
              <c16:uniqueId val="{00000000-29C5-4065-BD2E-5B51E634D05F}"/>
            </c:ext>
          </c:extLst>
        </c:ser>
        <c:ser>
          <c:idx val="1"/>
          <c:order val="1"/>
          <c:tx>
            <c:strRef>
              <c:f>'Figure 1.1.1'!$V$1</c:f>
              <c:strCache>
                <c:ptCount val="1"/>
                <c:pt idx="0">
                  <c:v>Mean 2008-2018</c:v>
                </c:pt>
              </c:strCache>
            </c:strRef>
          </c:tx>
          <c:spPr>
            <a:solidFill>
              <a:srgbClr val="C00000"/>
            </a:solidFill>
            <a:ln w="25400">
              <a:noFill/>
            </a:ln>
          </c:spPr>
          <c:invertIfNegative val="0"/>
          <c:cat>
            <c:strRef>
              <c:f>'Figure 1.1.1'!$T$2:$T$7</c:f>
              <c:strCache>
                <c:ptCount val="6"/>
                <c:pt idx="0">
                  <c:v>Total taxes</c:v>
                </c:pt>
                <c:pt idx="1">
                  <c:v>CIT</c:v>
                </c:pt>
                <c:pt idx="2">
                  <c:v>Indirect taxes</c:v>
                </c:pt>
                <c:pt idx="3">
                  <c:v>Property and wealth taxes</c:v>
                </c:pt>
                <c:pt idx="4">
                  <c:v>PIT</c:v>
                </c:pt>
                <c:pt idx="5">
                  <c:v>Social contributions</c:v>
                </c:pt>
              </c:strCache>
            </c:strRef>
          </c:cat>
          <c:val>
            <c:numRef>
              <c:f>'Figure 1.1.1'!$V$2:$V$7</c:f>
              <c:numCache>
                <c:formatCode>0.00</c:formatCode>
                <c:ptCount val="6"/>
                <c:pt idx="0">
                  <c:v>6.9952495396137238E-2</c:v>
                </c:pt>
                <c:pt idx="1">
                  <c:v>-3.5074170678853989E-2</c:v>
                </c:pt>
                <c:pt idx="2">
                  <c:v>-3.3031638711690903E-2</c:v>
                </c:pt>
                <c:pt idx="3">
                  <c:v>4.0189321152865887E-3</c:v>
                </c:pt>
                <c:pt idx="4">
                  <c:v>2.803671732544899E-2</c:v>
                </c:pt>
                <c:pt idx="5">
                  <c:v>9.4487980008125305E-2</c:v>
                </c:pt>
              </c:numCache>
            </c:numRef>
          </c:val>
          <c:extLst>
            <c:ext xmlns:c16="http://schemas.microsoft.com/office/drawing/2014/chart" uri="{C3380CC4-5D6E-409C-BE32-E72D297353CC}">
              <c16:uniqueId val="{00000001-29C5-4065-BD2E-5B51E634D05F}"/>
            </c:ext>
          </c:extLst>
        </c:ser>
        <c:dLbls>
          <c:showLegendKey val="0"/>
          <c:showVal val="0"/>
          <c:showCatName val="0"/>
          <c:showSerName val="0"/>
          <c:showPercent val="0"/>
          <c:showBubbleSize val="0"/>
        </c:dLbls>
        <c:gapWidth val="219"/>
        <c:overlap val="-27"/>
        <c:axId val="1470579311"/>
        <c:axId val="1"/>
      </c:barChart>
      <c:catAx>
        <c:axId val="147057931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crossAx val="1470579311"/>
        <c:crosses val="autoZero"/>
        <c:crossBetween val="between"/>
      </c:valAx>
      <c:spPr>
        <a:noFill/>
        <a:ln w="25400">
          <a:noFill/>
        </a:ln>
      </c:spPr>
    </c:plotArea>
    <c:legend>
      <c:legendPos val="r"/>
      <c:layout>
        <c:manualLayout>
          <c:xMode val="edge"/>
          <c:yMode val="edge"/>
          <c:x val="0.32418675452321288"/>
          <c:y val="0.15317749772140099"/>
          <c:w val="0.50243971522945741"/>
          <c:h val="5.7442897966735879E-2"/>
        </c:manualLayout>
      </c:layout>
      <c:overlay val="0"/>
      <c:spPr>
        <a:noFill/>
        <a:ln w="25400">
          <a:noFill/>
        </a:ln>
      </c:spPr>
      <c:txPr>
        <a:bodyPr rot="0" spcFirstLastPara="1" vertOverflow="ellipsis" vert="horz" wrap="square" anchor="ctr" anchorCtr="1"/>
        <a:lstStyle/>
        <a:p>
          <a:pPr>
            <a:defRPr sz="12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14103362978907"/>
          <c:y val="4.5500625023721521E-2"/>
          <c:w val="0.84448006948771714"/>
          <c:h val="0.75043616983504513"/>
        </c:manualLayout>
      </c:layout>
      <c:lineChart>
        <c:grouping val="standard"/>
        <c:varyColors val="0"/>
        <c:ser>
          <c:idx val="0"/>
          <c:order val="0"/>
          <c:tx>
            <c:strRef>
              <c:f>'Figure 1.1.2'!$C$1</c:f>
              <c:strCache>
                <c:ptCount val="1"/>
                <c:pt idx="0">
                  <c:v>Countries with value-added tax</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'Figure 1.1.2'!$B$2:$B$62</c:f>
              <c:strCache>
                <c:ptCount val="61"/>
                <c:pt idx="0">
                  <c:v>1960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00</c:v>
                </c:pt>
                <c:pt idx="41">
                  <c:v>01</c:v>
                </c:pt>
                <c:pt idx="42">
                  <c:v>02</c:v>
                </c:pt>
                <c:pt idx="43">
                  <c:v>03</c:v>
                </c:pt>
                <c:pt idx="44">
                  <c:v>04</c:v>
                </c:pt>
                <c:pt idx="45">
                  <c:v>05</c:v>
                </c:pt>
                <c:pt idx="46">
                  <c:v>06</c:v>
                </c:pt>
                <c:pt idx="47">
                  <c:v>07</c:v>
                </c:pt>
                <c:pt idx="48">
                  <c:v>08</c:v>
                </c:pt>
                <c:pt idx="49">
                  <c:v>09</c:v>
                </c:pt>
                <c:pt idx="50">
                  <c:v>10</c:v>
                </c:pt>
                <c:pt idx="51">
                  <c:v>11</c:v>
                </c:pt>
                <c:pt idx="52">
                  <c:v>12</c:v>
                </c:pt>
                <c:pt idx="53">
                  <c:v>13</c:v>
                </c:pt>
                <c:pt idx="54">
                  <c:v>14</c:v>
                </c:pt>
                <c:pt idx="55">
                  <c:v>15</c:v>
                </c:pt>
                <c:pt idx="56">
                  <c:v>16</c:v>
                </c:pt>
                <c:pt idx="57">
                  <c:v>17</c:v>
                </c:pt>
                <c:pt idx="58">
                  <c:v>18</c:v>
                </c:pt>
                <c:pt idx="59">
                  <c:v>19</c:v>
                </c:pt>
                <c:pt idx="60">
                  <c:v>20</c:v>
                </c:pt>
              </c:strCache>
            </c:strRef>
          </c:cat>
          <c:val>
            <c:numRef>
              <c:f>'Figure 1.1.2'!$C$2:$C$62</c:f>
              <c:numCache>
                <c:formatCode>0</c:formatCode>
                <c:ptCount val="61"/>
                <c:pt idx="0">
                  <c:v>1</c:v>
                </c:pt>
                <c:pt idx="1">
                  <c:v>1</c:v>
                </c:pt>
                <c:pt idx="2">
                  <c:v>1</c:v>
                </c:pt>
                <c:pt idx="3">
                  <c:v>1</c:v>
                </c:pt>
                <c:pt idx="4">
                  <c:v>3</c:v>
                </c:pt>
                <c:pt idx="5">
                  <c:v>3</c:v>
                </c:pt>
                <c:pt idx="6">
                  <c:v>3</c:v>
                </c:pt>
                <c:pt idx="7">
                  <c:v>3</c:v>
                </c:pt>
                <c:pt idx="8">
                  <c:v>3</c:v>
                </c:pt>
                <c:pt idx="9">
                  <c:v>3</c:v>
                </c:pt>
                <c:pt idx="10">
                  <c:v>4</c:v>
                </c:pt>
                <c:pt idx="11">
                  <c:v>4</c:v>
                </c:pt>
                <c:pt idx="12">
                  <c:v>5</c:v>
                </c:pt>
                <c:pt idx="13">
                  <c:v>5</c:v>
                </c:pt>
                <c:pt idx="14">
                  <c:v>6</c:v>
                </c:pt>
                <c:pt idx="15">
                  <c:v>8</c:v>
                </c:pt>
                <c:pt idx="16">
                  <c:v>8</c:v>
                </c:pt>
                <c:pt idx="17">
                  <c:v>9</c:v>
                </c:pt>
                <c:pt idx="18">
                  <c:v>9</c:v>
                </c:pt>
                <c:pt idx="19">
                  <c:v>9</c:v>
                </c:pt>
                <c:pt idx="20">
                  <c:v>11</c:v>
                </c:pt>
                <c:pt idx="21">
                  <c:v>11</c:v>
                </c:pt>
                <c:pt idx="22">
                  <c:v>12</c:v>
                </c:pt>
                <c:pt idx="23">
                  <c:v>14</c:v>
                </c:pt>
                <c:pt idx="24">
                  <c:v>15</c:v>
                </c:pt>
                <c:pt idx="25">
                  <c:v>16</c:v>
                </c:pt>
                <c:pt idx="26">
                  <c:v>19</c:v>
                </c:pt>
                <c:pt idx="27">
                  <c:v>19</c:v>
                </c:pt>
                <c:pt idx="28">
                  <c:v>22</c:v>
                </c:pt>
                <c:pt idx="29">
                  <c:v>22</c:v>
                </c:pt>
                <c:pt idx="30">
                  <c:v>25</c:v>
                </c:pt>
                <c:pt idx="31">
                  <c:v>33</c:v>
                </c:pt>
                <c:pt idx="32">
                  <c:v>44</c:v>
                </c:pt>
                <c:pt idx="33">
                  <c:v>51</c:v>
                </c:pt>
                <c:pt idx="34">
                  <c:v>56</c:v>
                </c:pt>
                <c:pt idx="35">
                  <c:v>61</c:v>
                </c:pt>
                <c:pt idx="36">
                  <c:v>63</c:v>
                </c:pt>
                <c:pt idx="37">
                  <c:v>66</c:v>
                </c:pt>
                <c:pt idx="38">
                  <c:v>74</c:v>
                </c:pt>
                <c:pt idx="39">
                  <c:v>80</c:v>
                </c:pt>
                <c:pt idx="40">
                  <c:v>84</c:v>
                </c:pt>
                <c:pt idx="41">
                  <c:v>89</c:v>
                </c:pt>
                <c:pt idx="42">
                  <c:v>92</c:v>
                </c:pt>
                <c:pt idx="43">
                  <c:v>95</c:v>
                </c:pt>
                <c:pt idx="44">
                  <c:v>97</c:v>
                </c:pt>
                <c:pt idx="45">
                  <c:v>100</c:v>
                </c:pt>
                <c:pt idx="46">
                  <c:v>103</c:v>
                </c:pt>
                <c:pt idx="47">
                  <c:v>106</c:v>
                </c:pt>
                <c:pt idx="48">
                  <c:v>107</c:v>
                </c:pt>
                <c:pt idx="49">
                  <c:v>110</c:v>
                </c:pt>
                <c:pt idx="50">
                  <c:v>113</c:v>
                </c:pt>
                <c:pt idx="51">
                  <c:v>114</c:v>
                </c:pt>
                <c:pt idx="52">
                  <c:v>118</c:v>
                </c:pt>
                <c:pt idx="53">
                  <c:v>119</c:v>
                </c:pt>
                <c:pt idx="54">
                  <c:v>120</c:v>
                </c:pt>
                <c:pt idx="55">
                  <c:v>121</c:v>
                </c:pt>
                <c:pt idx="56">
                  <c:v>121</c:v>
                </c:pt>
                <c:pt idx="57">
                  <c:v>123</c:v>
                </c:pt>
                <c:pt idx="58">
                  <c:v>126</c:v>
                </c:pt>
                <c:pt idx="59">
                  <c:v>128</c:v>
                </c:pt>
              </c:numCache>
            </c:numRef>
          </c:val>
          <c:smooth val="0"/>
          <c:extLst>
            <c:ext xmlns:c16="http://schemas.microsoft.com/office/drawing/2014/chart" uri="{C3380CC4-5D6E-409C-BE32-E72D297353CC}">
              <c16:uniqueId val="{00000000-8C18-4092-B424-3A41FB18CE9B}"/>
            </c:ext>
          </c:extLst>
        </c:ser>
        <c:ser>
          <c:idx val="1"/>
          <c:order val="1"/>
          <c:tx>
            <c:strRef>
              <c:f>'Figure 1.1.2'!$D$1</c:f>
              <c:strCache>
                <c:ptCount val="1"/>
                <c:pt idx="0">
                  <c:v>Countries with large taxpayer units</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cat>
            <c:strRef>
              <c:f>'Figure 1.1.2'!$B$2:$B$62</c:f>
              <c:strCache>
                <c:ptCount val="61"/>
                <c:pt idx="0">
                  <c:v>1960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00</c:v>
                </c:pt>
                <c:pt idx="41">
                  <c:v>01</c:v>
                </c:pt>
                <c:pt idx="42">
                  <c:v>02</c:v>
                </c:pt>
                <c:pt idx="43">
                  <c:v>03</c:v>
                </c:pt>
                <c:pt idx="44">
                  <c:v>04</c:v>
                </c:pt>
                <c:pt idx="45">
                  <c:v>05</c:v>
                </c:pt>
                <c:pt idx="46">
                  <c:v>06</c:v>
                </c:pt>
                <c:pt idx="47">
                  <c:v>07</c:v>
                </c:pt>
                <c:pt idx="48">
                  <c:v>08</c:v>
                </c:pt>
                <c:pt idx="49">
                  <c:v>09</c:v>
                </c:pt>
                <c:pt idx="50">
                  <c:v>10</c:v>
                </c:pt>
                <c:pt idx="51">
                  <c:v>11</c:v>
                </c:pt>
                <c:pt idx="52">
                  <c:v>12</c:v>
                </c:pt>
                <c:pt idx="53">
                  <c:v>13</c:v>
                </c:pt>
                <c:pt idx="54">
                  <c:v>14</c:v>
                </c:pt>
                <c:pt idx="55">
                  <c:v>15</c:v>
                </c:pt>
                <c:pt idx="56">
                  <c:v>16</c:v>
                </c:pt>
                <c:pt idx="57">
                  <c:v>17</c:v>
                </c:pt>
                <c:pt idx="58">
                  <c:v>18</c:v>
                </c:pt>
                <c:pt idx="59">
                  <c:v>19</c:v>
                </c:pt>
                <c:pt idx="60">
                  <c:v>20</c:v>
                </c:pt>
              </c:strCache>
            </c:strRef>
          </c:cat>
          <c:val>
            <c:numRef>
              <c:f>'Figure 1.1.2'!$D$2:$D$62</c:f>
              <c:numCache>
                <c:formatCode>0</c:formatCode>
                <c:ptCount val="61"/>
                <c:pt idx="14">
                  <c:v>1</c:v>
                </c:pt>
                <c:pt idx="15">
                  <c:v>1</c:v>
                </c:pt>
                <c:pt idx="16">
                  <c:v>1</c:v>
                </c:pt>
                <c:pt idx="17">
                  <c:v>1</c:v>
                </c:pt>
                <c:pt idx="18">
                  <c:v>1</c:v>
                </c:pt>
                <c:pt idx="19">
                  <c:v>1</c:v>
                </c:pt>
                <c:pt idx="20">
                  <c:v>2</c:v>
                </c:pt>
                <c:pt idx="21">
                  <c:v>2</c:v>
                </c:pt>
                <c:pt idx="22">
                  <c:v>2</c:v>
                </c:pt>
                <c:pt idx="23">
                  <c:v>2</c:v>
                </c:pt>
                <c:pt idx="24">
                  <c:v>2</c:v>
                </c:pt>
                <c:pt idx="25">
                  <c:v>2</c:v>
                </c:pt>
                <c:pt idx="26">
                  <c:v>2</c:v>
                </c:pt>
                <c:pt idx="27">
                  <c:v>2</c:v>
                </c:pt>
                <c:pt idx="28">
                  <c:v>4</c:v>
                </c:pt>
                <c:pt idx="29">
                  <c:v>4</c:v>
                </c:pt>
                <c:pt idx="30">
                  <c:v>6</c:v>
                </c:pt>
                <c:pt idx="31">
                  <c:v>6</c:v>
                </c:pt>
                <c:pt idx="32">
                  <c:v>8</c:v>
                </c:pt>
                <c:pt idx="33">
                  <c:v>10</c:v>
                </c:pt>
                <c:pt idx="34">
                  <c:v>13</c:v>
                </c:pt>
                <c:pt idx="35">
                  <c:v>20</c:v>
                </c:pt>
                <c:pt idx="36">
                  <c:v>26</c:v>
                </c:pt>
                <c:pt idx="37">
                  <c:v>32</c:v>
                </c:pt>
                <c:pt idx="38">
                  <c:v>40</c:v>
                </c:pt>
                <c:pt idx="39">
                  <c:v>46</c:v>
                </c:pt>
                <c:pt idx="40">
                  <c:v>51</c:v>
                </c:pt>
                <c:pt idx="41">
                  <c:v>59</c:v>
                </c:pt>
                <c:pt idx="42">
                  <c:v>64</c:v>
                </c:pt>
                <c:pt idx="43">
                  <c:v>68</c:v>
                </c:pt>
                <c:pt idx="44">
                  <c:v>77</c:v>
                </c:pt>
                <c:pt idx="45">
                  <c:v>79</c:v>
                </c:pt>
                <c:pt idx="46">
                  <c:v>85</c:v>
                </c:pt>
                <c:pt idx="47">
                  <c:v>87</c:v>
                </c:pt>
                <c:pt idx="48">
                  <c:v>90</c:v>
                </c:pt>
                <c:pt idx="49">
                  <c:v>91</c:v>
                </c:pt>
                <c:pt idx="50">
                  <c:v>94</c:v>
                </c:pt>
                <c:pt idx="51">
                  <c:v>95</c:v>
                </c:pt>
                <c:pt idx="52">
                  <c:v>98</c:v>
                </c:pt>
                <c:pt idx="53">
                  <c:v>100</c:v>
                </c:pt>
                <c:pt idx="54">
                  <c:v>103</c:v>
                </c:pt>
                <c:pt idx="55">
                  <c:v>103</c:v>
                </c:pt>
                <c:pt idx="56">
                  <c:v>103</c:v>
                </c:pt>
                <c:pt idx="57">
                  <c:v>104</c:v>
                </c:pt>
                <c:pt idx="58">
                  <c:v>105</c:v>
                </c:pt>
                <c:pt idx="59">
                  <c:v>106</c:v>
                </c:pt>
                <c:pt idx="60">
                  <c:v>108</c:v>
                </c:pt>
              </c:numCache>
            </c:numRef>
          </c:val>
          <c:smooth val="0"/>
          <c:extLst>
            <c:ext xmlns:c16="http://schemas.microsoft.com/office/drawing/2014/chart" uri="{C3380CC4-5D6E-409C-BE32-E72D297353CC}">
              <c16:uniqueId val="{00000001-8C18-4092-B424-3A41FB18CE9B}"/>
            </c:ext>
          </c:extLst>
        </c:ser>
        <c:ser>
          <c:idx val="2"/>
          <c:order val="2"/>
          <c:tx>
            <c:strRef>
              <c:f>'Figure 1.1.2'!$E$1</c:f>
              <c:strCache>
                <c:ptCount val="1"/>
                <c:pt idx="0">
                  <c:v>Countries with e-filing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1.1.2'!$B$2:$B$62</c:f>
              <c:strCache>
                <c:ptCount val="61"/>
                <c:pt idx="0">
                  <c:v>1960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00</c:v>
                </c:pt>
                <c:pt idx="41">
                  <c:v>01</c:v>
                </c:pt>
                <c:pt idx="42">
                  <c:v>02</c:v>
                </c:pt>
                <c:pt idx="43">
                  <c:v>03</c:v>
                </c:pt>
                <c:pt idx="44">
                  <c:v>04</c:v>
                </c:pt>
                <c:pt idx="45">
                  <c:v>05</c:v>
                </c:pt>
                <c:pt idx="46">
                  <c:v>06</c:v>
                </c:pt>
                <c:pt idx="47">
                  <c:v>07</c:v>
                </c:pt>
                <c:pt idx="48">
                  <c:v>08</c:v>
                </c:pt>
                <c:pt idx="49">
                  <c:v>09</c:v>
                </c:pt>
                <c:pt idx="50">
                  <c:v>10</c:v>
                </c:pt>
                <c:pt idx="51">
                  <c:v>11</c:v>
                </c:pt>
                <c:pt idx="52">
                  <c:v>12</c:v>
                </c:pt>
                <c:pt idx="53">
                  <c:v>13</c:v>
                </c:pt>
                <c:pt idx="54">
                  <c:v>14</c:v>
                </c:pt>
                <c:pt idx="55">
                  <c:v>15</c:v>
                </c:pt>
                <c:pt idx="56">
                  <c:v>16</c:v>
                </c:pt>
                <c:pt idx="57">
                  <c:v>17</c:v>
                </c:pt>
                <c:pt idx="58">
                  <c:v>18</c:v>
                </c:pt>
                <c:pt idx="59">
                  <c:v>19</c:v>
                </c:pt>
                <c:pt idx="60">
                  <c:v>20</c:v>
                </c:pt>
              </c:strCache>
            </c:strRef>
          </c:cat>
          <c:val>
            <c:numRef>
              <c:f>'Figure 1.1.2'!$E$2:$E$62</c:f>
              <c:numCache>
                <c:formatCode>0</c:formatCode>
                <c:ptCount val="61"/>
                <c:pt idx="37">
                  <c:v>1</c:v>
                </c:pt>
                <c:pt idx="38">
                  <c:v>2</c:v>
                </c:pt>
                <c:pt idx="39">
                  <c:v>3</c:v>
                </c:pt>
                <c:pt idx="40">
                  <c:v>4</c:v>
                </c:pt>
                <c:pt idx="41">
                  <c:v>7</c:v>
                </c:pt>
                <c:pt idx="42">
                  <c:v>7</c:v>
                </c:pt>
                <c:pt idx="43">
                  <c:v>8</c:v>
                </c:pt>
                <c:pt idx="44">
                  <c:v>12</c:v>
                </c:pt>
                <c:pt idx="45">
                  <c:v>16</c:v>
                </c:pt>
                <c:pt idx="46">
                  <c:v>22</c:v>
                </c:pt>
                <c:pt idx="47">
                  <c:v>27</c:v>
                </c:pt>
                <c:pt idx="48">
                  <c:v>32</c:v>
                </c:pt>
                <c:pt idx="49">
                  <c:v>39</c:v>
                </c:pt>
                <c:pt idx="50">
                  <c:v>46</c:v>
                </c:pt>
                <c:pt idx="51">
                  <c:v>55</c:v>
                </c:pt>
                <c:pt idx="52">
                  <c:v>64</c:v>
                </c:pt>
                <c:pt idx="53">
                  <c:v>81</c:v>
                </c:pt>
                <c:pt idx="54">
                  <c:v>86</c:v>
                </c:pt>
                <c:pt idx="55">
                  <c:v>87</c:v>
                </c:pt>
              </c:numCache>
            </c:numRef>
          </c:val>
          <c:smooth val="0"/>
          <c:extLst>
            <c:ext xmlns:c16="http://schemas.microsoft.com/office/drawing/2014/chart" uri="{C3380CC4-5D6E-409C-BE32-E72D297353CC}">
              <c16:uniqueId val="{00000002-8C18-4092-B424-3A41FB18CE9B}"/>
            </c:ext>
          </c:extLst>
        </c:ser>
        <c:dLbls>
          <c:showLegendKey val="0"/>
          <c:showVal val="0"/>
          <c:showCatName val="0"/>
          <c:showSerName val="0"/>
          <c:showPercent val="0"/>
          <c:showBubbleSize val="0"/>
        </c:dLbls>
        <c:marker val="1"/>
        <c:smooth val="0"/>
        <c:axId val="1470609263"/>
        <c:axId val="1"/>
      </c:lineChart>
      <c:catAx>
        <c:axId val="1470609263"/>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vert="horz"/>
          <a:lstStyle/>
          <a:p>
            <a:pPr>
              <a:defRPr/>
            </a:pPr>
            <a:endParaRPr lang="en-US"/>
          </a:p>
        </c:txPr>
        <c:crossAx val="1"/>
        <c:crosses val="autoZero"/>
        <c:auto val="1"/>
        <c:lblAlgn val="ctr"/>
        <c:lblOffset val="100"/>
        <c:tickLblSkip val="5"/>
        <c:tickMarkSkip val="5"/>
        <c:noMultiLvlLbl val="0"/>
      </c:catAx>
      <c:valAx>
        <c:axId val="1"/>
        <c:scaling>
          <c:orientation val="minMax"/>
        </c:scaling>
        <c:delete val="0"/>
        <c:axPos val="l"/>
        <c:title>
          <c:tx>
            <c:rich>
              <a:bodyPr rot="-5400000" vert="horz"/>
              <a:lstStyle/>
              <a:p>
                <a:pPr>
                  <a:defRPr b="0"/>
                </a:pPr>
                <a:r>
                  <a:rPr lang="en-US" b="0"/>
                  <a:t>Number of Countries</a:t>
                </a:r>
              </a:p>
            </c:rich>
          </c:tx>
          <c:overlay val="0"/>
          <c:spPr>
            <a:noFill/>
            <a:ln w="25400">
              <a:noFill/>
            </a:ln>
          </c:spPr>
        </c:title>
        <c:numFmt formatCode="0" sourceLinked="1"/>
        <c:majorTickMark val="in"/>
        <c:minorTickMark val="none"/>
        <c:tickLblPos val="nextTo"/>
        <c:spPr>
          <a:noFill/>
          <a:ln>
            <a:solidFill>
              <a:schemeClr val="tx1"/>
            </a:solidFill>
          </a:ln>
          <a:effectLst/>
        </c:spPr>
        <c:txPr>
          <a:bodyPr rot="-60000000" vert="horz"/>
          <a:lstStyle/>
          <a:p>
            <a:pPr>
              <a:defRPr/>
            </a:pPr>
            <a:endParaRPr lang="en-US"/>
          </a:p>
        </c:txPr>
        <c:crossAx val="1470609263"/>
        <c:crosses val="autoZero"/>
        <c:crossBetween val="between"/>
      </c:valAx>
      <c:spPr>
        <a:noFill/>
        <a:ln w="25400">
          <a:noFill/>
        </a:ln>
      </c:spPr>
    </c:plotArea>
    <c:legend>
      <c:legendPos val="b"/>
      <c:layout>
        <c:manualLayout>
          <c:xMode val="edge"/>
          <c:yMode val="edge"/>
          <c:x val="0.1273481372382409"/>
          <c:y val="3.9643411920448721E-2"/>
          <c:w val="0.68448837780169569"/>
          <c:h val="0.23732482419289425"/>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0797895964695"/>
          <c:y val="0.23330940711811451"/>
          <c:w val="0.83711921090508845"/>
          <c:h val="0.56581252510241598"/>
        </c:manualLayout>
      </c:layout>
      <c:barChart>
        <c:barDir val="col"/>
        <c:grouping val="stacked"/>
        <c:varyColors val="0"/>
        <c:ser>
          <c:idx val="1"/>
          <c:order val="0"/>
          <c:tx>
            <c:strRef>
              <c:f>'Figure 2.1.'!$U$6</c:f>
              <c:strCache>
                <c:ptCount val="1"/>
                <c:pt idx="0">
                  <c:v>Automatic price adjustments</c:v>
                </c:pt>
              </c:strCache>
            </c:strRef>
          </c:tx>
          <c:spPr>
            <a:solidFill>
              <a:srgbClr val="92D050"/>
            </a:solidFill>
            <a:ln>
              <a:noFill/>
            </a:ln>
            <a:effectLst/>
          </c:spPr>
          <c:invertIfNegative val="0"/>
          <c:cat>
            <c:strRef>
              <c:f>'Figure 2.1.'!$V$5:$X$5</c:f>
              <c:strCache>
                <c:ptCount val="3"/>
                <c:pt idx="0">
                  <c:v>AEs</c:v>
                </c:pt>
                <c:pt idx="1">
                  <c:v>EMs</c:v>
                </c:pt>
                <c:pt idx="2">
                  <c:v>LIDCs</c:v>
                </c:pt>
              </c:strCache>
            </c:strRef>
          </c:cat>
          <c:val>
            <c:numRef>
              <c:f>'Figure 2.1.'!$V$6:$X$6</c:f>
              <c:numCache>
                <c:formatCode>0</c:formatCode>
                <c:ptCount val="3"/>
                <c:pt idx="0">
                  <c:v>20</c:v>
                </c:pt>
                <c:pt idx="1">
                  <c:v>11.111111111111111</c:v>
                </c:pt>
                <c:pt idx="2">
                  <c:v>2.083333333333333</c:v>
                </c:pt>
              </c:numCache>
            </c:numRef>
          </c:val>
          <c:extLst>
            <c:ext xmlns:c16="http://schemas.microsoft.com/office/drawing/2014/chart" uri="{C3380CC4-5D6E-409C-BE32-E72D297353CC}">
              <c16:uniqueId val="{00000000-063B-493A-8077-BF102A032B2A}"/>
            </c:ext>
          </c:extLst>
        </c:ser>
        <c:ser>
          <c:idx val="0"/>
          <c:order val="1"/>
          <c:tx>
            <c:strRef>
              <c:f>'Figure 2.1.'!$U$7</c:f>
              <c:strCache>
                <c:ptCount val="1"/>
                <c:pt idx="0">
                  <c:v>Regular de facto adjustments</c:v>
                </c:pt>
              </c:strCache>
            </c:strRef>
          </c:tx>
          <c:spPr>
            <a:solidFill>
              <a:srgbClr val="00B0F0"/>
            </a:solidFill>
            <a:ln>
              <a:noFill/>
            </a:ln>
            <a:effectLst/>
          </c:spPr>
          <c:invertIfNegative val="0"/>
          <c:cat>
            <c:strRef>
              <c:f>'Figure 2.1.'!$V$5:$X$5</c:f>
              <c:strCache>
                <c:ptCount val="3"/>
                <c:pt idx="0">
                  <c:v>AEs</c:v>
                </c:pt>
                <c:pt idx="1">
                  <c:v>EMs</c:v>
                </c:pt>
                <c:pt idx="2">
                  <c:v>LIDCs</c:v>
                </c:pt>
              </c:strCache>
            </c:strRef>
          </c:cat>
          <c:val>
            <c:numRef>
              <c:f>'Figure 2.1.'!$V$7:$X$7</c:f>
              <c:numCache>
                <c:formatCode>0</c:formatCode>
                <c:ptCount val="3"/>
                <c:pt idx="0">
                  <c:v>17.142857142857142</c:v>
                </c:pt>
                <c:pt idx="1">
                  <c:v>12.5</c:v>
                </c:pt>
                <c:pt idx="2">
                  <c:v>2.083333333333333</c:v>
                </c:pt>
              </c:numCache>
            </c:numRef>
          </c:val>
          <c:extLst>
            <c:ext xmlns:c16="http://schemas.microsoft.com/office/drawing/2014/chart" uri="{C3380CC4-5D6E-409C-BE32-E72D297353CC}">
              <c16:uniqueId val="{00000001-063B-493A-8077-BF102A032B2A}"/>
            </c:ext>
          </c:extLst>
        </c:ser>
        <c:ser>
          <c:idx val="2"/>
          <c:order val="2"/>
          <c:tx>
            <c:strRef>
              <c:f>'Figure 2.1.'!$U$8</c:f>
              <c:strCache>
                <c:ptCount val="1"/>
                <c:pt idx="0">
                  <c:v>No regular adjustments</c:v>
                </c:pt>
              </c:strCache>
            </c:strRef>
          </c:tx>
          <c:spPr>
            <a:solidFill>
              <a:srgbClr val="7030A0"/>
            </a:solidFill>
            <a:ln>
              <a:noFill/>
            </a:ln>
            <a:effectLst/>
          </c:spPr>
          <c:invertIfNegative val="0"/>
          <c:cat>
            <c:strRef>
              <c:f>'Figure 2.1.'!$V$5:$X$5</c:f>
              <c:strCache>
                <c:ptCount val="3"/>
                <c:pt idx="0">
                  <c:v>AEs</c:v>
                </c:pt>
                <c:pt idx="1">
                  <c:v>EMs</c:v>
                </c:pt>
                <c:pt idx="2">
                  <c:v>LIDCs</c:v>
                </c:pt>
              </c:strCache>
            </c:strRef>
          </c:cat>
          <c:val>
            <c:numRef>
              <c:f>'Figure 2.1.'!$V$8:$X$8</c:f>
              <c:numCache>
                <c:formatCode>0</c:formatCode>
                <c:ptCount val="3"/>
                <c:pt idx="0">
                  <c:v>62.857142857142854</c:v>
                </c:pt>
                <c:pt idx="1">
                  <c:v>76.388888888888886</c:v>
                </c:pt>
                <c:pt idx="2">
                  <c:v>95.833333333333343</c:v>
                </c:pt>
              </c:numCache>
            </c:numRef>
          </c:val>
          <c:extLst>
            <c:ext xmlns:c16="http://schemas.microsoft.com/office/drawing/2014/chart" uri="{C3380CC4-5D6E-409C-BE32-E72D297353CC}">
              <c16:uniqueId val="{00000002-063B-493A-8077-BF102A032B2A}"/>
            </c:ext>
          </c:extLst>
        </c:ser>
        <c:dLbls>
          <c:showLegendKey val="0"/>
          <c:showVal val="0"/>
          <c:showCatName val="0"/>
          <c:showSerName val="0"/>
          <c:showPercent val="0"/>
          <c:showBubbleSize val="0"/>
        </c:dLbls>
        <c:gapWidth val="150"/>
        <c:overlap val="100"/>
        <c:axId val="1460645743"/>
        <c:axId val="1460657391"/>
      </c:barChart>
      <c:catAx>
        <c:axId val="1460645743"/>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657391"/>
        <c:crosses val="autoZero"/>
        <c:auto val="1"/>
        <c:lblAlgn val="ctr"/>
        <c:lblOffset val="100"/>
        <c:noMultiLvlLbl val="0"/>
      </c:catAx>
      <c:valAx>
        <c:axId val="1460657391"/>
        <c:scaling>
          <c:orientation val="minMax"/>
          <c:max val="100"/>
        </c:scaling>
        <c:delete val="0"/>
        <c:axPos val="l"/>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645743"/>
        <c:crosses val="autoZero"/>
        <c:crossBetween val="between"/>
      </c:valAx>
      <c:spPr>
        <a:noFill/>
        <a:ln>
          <a:noFill/>
        </a:ln>
        <a:effectLst/>
      </c:spPr>
    </c:plotArea>
    <c:legend>
      <c:legendPos val="b"/>
      <c:layout>
        <c:manualLayout>
          <c:xMode val="edge"/>
          <c:yMode val="edge"/>
          <c:x val="5.3764763779527557E-3"/>
          <c:y val="9.7407195187220297E-2"/>
          <c:w val="0.9946236559139785"/>
          <c:h val="0.1021587656841578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2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0797895964695"/>
          <c:y val="0.22249587159955544"/>
          <c:w val="0.7979692988224536"/>
          <c:h val="0.57228583766121821"/>
        </c:manualLayout>
      </c:layout>
      <c:barChart>
        <c:barDir val="col"/>
        <c:grouping val="stacked"/>
        <c:varyColors val="0"/>
        <c:ser>
          <c:idx val="1"/>
          <c:order val="0"/>
          <c:tx>
            <c:strRef>
              <c:f>'Figure 2.1.'!$V$17</c:f>
              <c:strCache>
                <c:ptCount val="1"/>
                <c:pt idx="0">
                  <c:v>Yes, to inflation</c:v>
                </c:pt>
              </c:strCache>
            </c:strRef>
          </c:tx>
          <c:spPr>
            <a:solidFill>
              <a:srgbClr val="92D050"/>
            </a:solidFill>
            <a:ln>
              <a:noFill/>
            </a:ln>
            <a:effectLst/>
          </c:spPr>
          <c:invertIfNegative val="0"/>
          <c:cat>
            <c:strRef>
              <c:f>'Figure 2.1.'!$U$18:$U$20</c:f>
              <c:strCache>
                <c:ptCount val="3"/>
                <c:pt idx="0">
                  <c:v>AEs</c:v>
                </c:pt>
                <c:pt idx="1">
                  <c:v>EMs</c:v>
                </c:pt>
                <c:pt idx="2">
                  <c:v>LIDCs</c:v>
                </c:pt>
              </c:strCache>
            </c:strRef>
          </c:cat>
          <c:val>
            <c:numRef>
              <c:f>'Figure 2.1.'!$V$18:$V$20</c:f>
              <c:numCache>
                <c:formatCode>0</c:formatCode>
                <c:ptCount val="3"/>
                <c:pt idx="0">
                  <c:v>51.428571428571423</c:v>
                </c:pt>
                <c:pt idx="1">
                  <c:v>12.962962962962962</c:v>
                </c:pt>
                <c:pt idx="2">
                  <c:v>9.3023255813953494</c:v>
                </c:pt>
              </c:numCache>
            </c:numRef>
          </c:val>
          <c:extLst>
            <c:ext xmlns:c16="http://schemas.microsoft.com/office/drawing/2014/chart" uri="{C3380CC4-5D6E-409C-BE32-E72D297353CC}">
              <c16:uniqueId val="{00000000-60FE-4F2D-A2C5-5B0BA8917021}"/>
            </c:ext>
          </c:extLst>
        </c:ser>
        <c:ser>
          <c:idx val="2"/>
          <c:order val="1"/>
          <c:tx>
            <c:strRef>
              <c:f>'Figure 2.1.'!$W$17</c:f>
              <c:strCache>
                <c:ptCount val="1"/>
                <c:pt idx="0">
                  <c:v>Yes, to other variables</c:v>
                </c:pt>
              </c:strCache>
            </c:strRef>
          </c:tx>
          <c:spPr>
            <a:solidFill>
              <a:srgbClr val="00B0F0"/>
            </a:solidFill>
            <a:ln>
              <a:noFill/>
            </a:ln>
            <a:effectLst/>
          </c:spPr>
          <c:invertIfNegative val="0"/>
          <c:cat>
            <c:strRef>
              <c:f>'Figure 2.1.'!$U$18:$U$20</c:f>
              <c:strCache>
                <c:ptCount val="3"/>
                <c:pt idx="0">
                  <c:v>AEs</c:v>
                </c:pt>
                <c:pt idx="1">
                  <c:v>EMs</c:v>
                </c:pt>
                <c:pt idx="2">
                  <c:v>LIDCs</c:v>
                </c:pt>
              </c:strCache>
            </c:strRef>
          </c:cat>
          <c:val>
            <c:numRef>
              <c:f>'Figure 2.1.'!$W$18:$W$20</c:f>
              <c:numCache>
                <c:formatCode>0</c:formatCode>
                <c:ptCount val="3"/>
                <c:pt idx="0">
                  <c:v>14.285714285714285</c:v>
                </c:pt>
                <c:pt idx="1">
                  <c:v>16.666666666666664</c:v>
                </c:pt>
                <c:pt idx="2">
                  <c:v>6.9767441860465116</c:v>
                </c:pt>
              </c:numCache>
            </c:numRef>
          </c:val>
          <c:extLst>
            <c:ext xmlns:c16="http://schemas.microsoft.com/office/drawing/2014/chart" uri="{C3380CC4-5D6E-409C-BE32-E72D297353CC}">
              <c16:uniqueId val="{00000001-60FE-4F2D-A2C5-5B0BA8917021}"/>
            </c:ext>
          </c:extLst>
        </c:ser>
        <c:ser>
          <c:idx val="0"/>
          <c:order val="2"/>
          <c:tx>
            <c:strRef>
              <c:f>'Figure 2.1.'!$X$17</c:f>
              <c:strCache>
                <c:ptCount val="1"/>
                <c:pt idx="0">
                  <c:v>No</c:v>
                </c:pt>
              </c:strCache>
            </c:strRef>
          </c:tx>
          <c:spPr>
            <a:solidFill>
              <a:srgbClr val="7030A0"/>
            </a:solidFill>
            <a:ln>
              <a:noFill/>
            </a:ln>
            <a:effectLst/>
          </c:spPr>
          <c:invertIfNegative val="0"/>
          <c:cat>
            <c:strRef>
              <c:f>'Figure 2.1.'!$U$18:$U$20</c:f>
              <c:strCache>
                <c:ptCount val="3"/>
                <c:pt idx="0">
                  <c:v>AEs</c:v>
                </c:pt>
                <c:pt idx="1">
                  <c:v>EMs</c:v>
                </c:pt>
                <c:pt idx="2">
                  <c:v>LIDCs</c:v>
                </c:pt>
              </c:strCache>
            </c:strRef>
          </c:cat>
          <c:val>
            <c:numRef>
              <c:f>'Figure 2.1.'!$X$18:$X$20</c:f>
              <c:numCache>
                <c:formatCode>0</c:formatCode>
                <c:ptCount val="3"/>
                <c:pt idx="0">
                  <c:v>34.285714285714285</c:v>
                </c:pt>
                <c:pt idx="1">
                  <c:v>70.370370370370367</c:v>
                </c:pt>
                <c:pt idx="2">
                  <c:v>83.720930232558146</c:v>
                </c:pt>
              </c:numCache>
            </c:numRef>
          </c:val>
          <c:extLst>
            <c:ext xmlns:c16="http://schemas.microsoft.com/office/drawing/2014/chart" uri="{C3380CC4-5D6E-409C-BE32-E72D297353CC}">
              <c16:uniqueId val="{00000002-60FE-4F2D-A2C5-5B0BA8917021}"/>
            </c:ext>
          </c:extLst>
        </c:ser>
        <c:dLbls>
          <c:showLegendKey val="0"/>
          <c:showVal val="0"/>
          <c:showCatName val="0"/>
          <c:showSerName val="0"/>
          <c:showPercent val="0"/>
          <c:showBubbleSize val="0"/>
        </c:dLbls>
        <c:gapWidth val="150"/>
        <c:overlap val="100"/>
        <c:axId val="74614207"/>
        <c:axId val="1252844895"/>
      </c:barChart>
      <c:catAx>
        <c:axId val="74614207"/>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2844895"/>
        <c:crosses val="autoZero"/>
        <c:auto val="1"/>
        <c:lblAlgn val="ctr"/>
        <c:lblOffset val="100"/>
        <c:noMultiLvlLbl val="0"/>
      </c:catAx>
      <c:valAx>
        <c:axId val="1252844895"/>
        <c:scaling>
          <c:orientation val="minMax"/>
          <c:max val="100"/>
        </c:scaling>
        <c:delete val="0"/>
        <c:axPos val="l"/>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614207"/>
        <c:crosses val="autoZero"/>
        <c:crossBetween val="between"/>
        <c:majorUnit val="10"/>
      </c:valAx>
      <c:spPr>
        <a:noFill/>
        <a:ln>
          <a:noFill/>
        </a:ln>
        <a:effectLst/>
      </c:spPr>
    </c:plotArea>
    <c:legend>
      <c:legendPos val="t"/>
      <c:layout>
        <c:manualLayout>
          <c:xMode val="edge"/>
          <c:yMode val="edge"/>
          <c:x val="4.5475216007276033E-2"/>
          <c:y val="9.2712953370183218E-2"/>
          <c:w val="0.89995452478399274"/>
          <c:h val="0.101987032211265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0797895964695"/>
          <c:y val="0.22066057559718416"/>
          <c:w val="0.81545931608523836"/>
          <c:h val="0.57532498821286271"/>
        </c:manualLayout>
      </c:layout>
      <c:barChart>
        <c:barDir val="col"/>
        <c:grouping val="stacked"/>
        <c:varyColors val="0"/>
        <c:ser>
          <c:idx val="1"/>
          <c:order val="0"/>
          <c:tx>
            <c:strRef>
              <c:f>'Figure 2.1.'!$U$25</c:f>
              <c:strCache>
                <c:ptCount val="1"/>
                <c:pt idx="0">
                  <c:v>Yes, to inflation</c:v>
                </c:pt>
              </c:strCache>
            </c:strRef>
          </c:tx>
          <c:spPr>
            <a:solidFill>
              <a:srgbClr val="92D050"/>
            </a:solidFill>
            <a:ln>
              <a:noFill/>
            </a:ln>
            <a:effectLst/>
          </c:spPr>
          <c:invertIfNegative val="0"/>
          <c:cat>
            <c:strRef>
              <c:f>'Figure 2.1.'!$V$23:$X$23</c:f>
              <c:strCache>
                <c:ptCount val="3"/>
                <c:pt idx="0">
                  <c:v>AEs</c:v>
                </c:pt>
                <c:pt idx="1">
                  <c:v>EMs</c:v>
                </c:pt>
                <c:pt idx="2">
                  <c:v>LIDCs</c:v>
                </c:pt>
              </c:strCache>
            </c:strRef>
          </c:cat>
          <c:val>
            <c:numRef>
              <c:f>'Figure 2.1.'!$V$25:$X$25</c:f>
              <c:numCache>
                <c:formatCode>0</c:formatCode>
                <c:ptCount val="3"/>
                <c:pt idx="0">
                  <c:v>11.76470588235294</c:v>
                </c:pt>
                <c:pt idx="1">
                  <c:v>10.638297872340425</c:v>
                </c:pt>
                <c:pt idx="2">
                  <c:v>0</c:v>
                </c:pt>
              </c:numCache>
            </c:numRef>
          </c:val>
          <c:extLst>
            <c:ext xmlns:c16="http://schemas.microsoft.com/office/drawing/2014/chart" uri="{C3380CC4-5D6E-409C-BE32-E72D297353CC}">
              <c16:uniqueId val="{00000000-B123-4AB7-8D8D-3D82E33DBC70}"/>
            </c:ext>
          </c:extLst>
        </c:ser>
        <c:ser>
          <c:idx val="2"/>
          <c:order val="1"/>
          <c:tx>
            <c:strRef>
              <c:f>'Figure 2.1.'!$U$26</c:f>
              <c:strCache>
                <c:ptCount val="1"/>
                <c:pt idx="0">
                  <c:v>Yes, to other variables</c:v>
                </c:pt>
              </c:strCache>
            </c:strRef>
          </c:tx>
          <c:spPr>
            <a:solidFill>
              <a:srgbClr val="00B0F0"/>
            </a:solidFill>
            <a:ln>
              <a:noFill/>
            </a:ln>
            <a:effectLst/>
          </c:spPr>
          <c:invertIfNegative val="0"/>
          <c:cat>
            <c:strRef>
              <c:f>'Figure 2.1.'!$V$23:$X$23</c:f>
              <c:strCache>
                <c:ptCount val="3"/>
                <c:pt idx="0">
                  <c:v>AEs</c:v>
                </c:pt>
                <c:pt idx="1">
                  <c:v>EMs</c:v>
                </c:pt>
                <c:pt idx="2">
                  <c:v>LIDCs</c:v>
                </c:pt>
              </c:strCache>
            </c:strRef>
          </c:cat>
          <c:val>
            <c:numRef>
              <c:f>'Figure 2.1.'!$V$26:$X$26</c:f>
              <c:numCache>
                <c:formatCode>0</c:formatCode>
                <c:ptCount val="3"/>
                <c:pt idx="0">
                  <c:v>5.8823529411764701</c:v>
                </c:pt>
                <c:pt idx="1">
                  <c:v>17.021276595744681</c:v>
                </c:pt>
                <c:pt idx="2">
                  <c:v>5.8823529411764701</c:v>
                </c:pt>
              </c:numCache>
            </c:numRef>
          </c:val>
          <c:extLst>
            <c:ext xmlns:c16="http://schemas.microsoft.com/office/drawing/2014/chart" uri="{C3380CC4-5D6E-409C-BE32-E72D297353CC}">
              <c16:uniqueId val="{00000001-B123-4AB7-8D8D-3D82E33DBC70}"/>
            </c:ext>
          </c:extLst>
        </c:ser>
        <c:ser>
          <c:idx val="0"/>
          <c:order val="2"/>
          <c:tx>
            <c:strRef>
              <c:f>'Figure 2.1.'!$U$24</c:f>
              <c:strCache>
                <c:ptCount val="1"/>
                <c:pt idx="0">
                  <c:v>No</c:v>
                </c:pt>
              </c:strCache>
            </c:strRef>
          </c:tx>
          <c:spPr>
            <a:solidFill>
              <a:srgbClr val="7030A0"/>
            </a:solidFill>
            <a:ln>
              <a:noFill/>
            </a:ln>
            <a:effectLst/>
          </c:spPr>
          <c:invertIfNegative val="0"/>
          <c:cat>
            <c:strRef>
              <c:f>'Figure 2.1.'!$V$23:$X$23</c:f>
              <c:strCache>
                <c:ptCount val="3"/>
                <c:pt idx="0">
                  <c:v>AEs</c:v>
                </c:pt>
                <c:pt idx="1">
                  <c:v>EMs</c:v>
                </c:pt>
                <c:pt idx="2">
                  <c:v>LIDCs</c:v>
                </c:pt>
              </c:strCache>
            </c:strRef>
          </c:cat>
          <c:val>
            <c:numRef>
              <c:f>'Figure 2.1.'!$V$24:$X$24</c:f>
              <c:numCache>
                <c:formatCode>0</c:formatCode>
                <c:ptCount val="3"/>
                <c:pt idx="0">
                  <c:v>82.35294117647058</c:v>
                </c:pt>
                <c:pt idx="1">
                  <c:v>72.340425531914903</c:v>
                </c:pt>
                <c:pt idx="2">
                  <c:v>94.117647058823522</c:v>
                </c:pt>
              </c:numCache>
            </c:numRef>
          </c:val>
          <c:extLst>
            <c:ext xmlns:c16="http://schemas.microsoft.com/office/drawing/2014/chart" uri="{C3380CC4-5D6E-409C-BE32-E72D297353CC}">
              <c16:uniqueId val="{00000002-B123-4AB7-8D8D-3D82E33DBC70}"/>
            </c:ext>
          </c:extLst>
        </c:ser>
        <c:dLbls>
          <c:showLegendKey val="0"/>
          <c:showVal val="0"/>
          <c:showCatName val="0"/>
          <c:showSerName val="0"/>
          <c:showPercent val="0"/>
          <c:showBubbleSize val="0"/>
        </c:dLbls>
        <c:gapWidth val="150"/>
        <c:overlap val="100"/>
        <c:axId val="1460648239"/>
        <c:axId val="1460663631"/>
      </c:barChart>
      <c:catAx>
        <c:axId val="1460648239"/>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663631"/>
        <c:crosses val="autoZero"/>
        <c:auto val="1"/>
        <c:lblAlgn val="ctr"/>
        <c:lblOffset val="100"/>
        <c:noMultiLvlLbl val="0"/>
      </c:catAx>
      <c:valAx>
        <c:axId val="1460663631"/>
        <c:scaling>
          <c:orientation val="minMax"/>
          <c:max val="100"/>
        </c:scaling>
        <c:delete val="0"/>
        <c:axPos val="l"/>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648239"/>
        <c:crosses val="autoZero"/>
        <c:crossBetween val="between"/>
      </c:valAx>
      <c:spPr>
        <a:noFill/>
        <a:ln>
          <a:noFill/>
        </a:ln>
        <a:effectLst/>
      </c:spPr>
    </c:plotArea>
    <c:legend>
      <c:legendPos val="b"/>
      <c:layout>
        <c:manualLayout>
          <c:xMode val="edge"/>
          <c:yMode val="edge"/>
          <c:x val="0.10056759926101234"/>
          <c:y val="8.798126492821505E-2"/>
          <c:w val="0.82793782367721414"/>
          <c:h val="9.4928459293482328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2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90157480314962"/>
          <c:y val="0.26525924285269908"/>
          <c:w val="0.94509842519685039"/>
          <c:h val="0.61820259679489897"/>
        </c:manualLayout>
      </c:layout>
      <c:barChart>
        <c:barDir val="col"/>
        <c:grouping val="stacked"/>
        <c:varyColors val="0"/>
        <c:ser>
          <c:idx val="0"/>
          <c:order val="0"/>
          <c:tx>
            <c:strRef>
              <c:f>'Figure 2.1.'!$U$12</c:f>
              <c:strCache>
                <c:ptCount val="1"/>
                <c:pt idx="0">
                  <c:v>Price</c:v>
                </c:pt>
              </c:strCache>
            </c:strRef>
          </c:tx>
          <c:spPr>
            <a:solidFill>
              <a:srgbClr val="92D050"/>
            </a:solidFill>
            <a:ln>
              <a:noFill/>
            </a:ln>
            <a:effectLst/>
          </c:spPr>
          <c:invertIfNegative val="0"/>
          <c:cat>
            <c:strRef>
              <c:f>'Figure 2.1.'!$V$11:$X$11</c:f>
              <c:strCache>
                <c:ptCount val="3"/>
                <c:pt idx="0">
                  <c:v>AEs</c:v>
                </c:pt>
                <c:pt idx="1">
                  <c:v>EMs</c:v>
                </c:pt>
                <c:pt idx="2">
                  <c:v>LIDCs</c:v>
                </c:pt>
              </c:strCache>
            </c:strRef>
          </c:cat>
          <c:val>
            <c:numRef>
              <c:f>'Figure 2.1.'!$V$12:$X$12</c:f>
              <c:numCache>
                <c:formatCode>0</c:formatCode>
                <c:ptCount val="3"/>
                <c:pt idx="0">
                  <c:v>40</c:v>
                </c:pt>
                <c:pt idx="1">
                  <c:v>20.689655172413794</c:v>
                </c:pt>
                <c:pt idx="2">
                  <c:v>14.893617021276595</c:v>
                </c:pt>
              </c:numCache>
            </c:numRef>
          </c:val>
          <c:extLst>
            <c:ext xmlns:c16="http://schemas.microsoft.com/office/drawing/2014/chart" uri="{C3380CC4-5D6E-409C-BE32-E72D297353CC}">
              <c16:uniqueId val="{00000000-47B8-462E-ADED-24CE878BF834}"/>
            </c:ext>
          </c:extLst>
        </c:ser>
        <c:ser>
          <c:idx val="1"/>
          <c:order val="1"/>
          <c:tx>
            <c:strRef>
              <c:f>'Figure 2.1.'!$U$13</c:f>
              <c:strCache>
                <c:ptCount val="1"/>
                <c:pt idx="0">
                  <c:v>Wage</c:v>
                </c:pt>
              </c:strCache>
            </c:strRef>
          </c:tx>
          <c:spPr>
            <a:solidFill>
              <a:srgbClr val="FF0000"/>
            </a:solidFill>
            <a:ln>
              <a:noFill/>
            </a:ln>
            <a:effectLst/>
          </c:spPr>
          <c:invertIfNegative val="0"/>
          <c:cat>
            <c:strRef>
              <c:f>'Figure 2.1.'!$V$11:$X$11</c:f>
              <c:strCache>
                <c:ptCount val="3"/>
                <c:pt idx="0">
                  <c:v>AEs</c:v>
                </c:pt>
                <c:pt idx="1">
                  <c:v>EMs</c:v>
                </c:pt>
                <c:pt idx="2">
                  <c:v>LIDCs</c:v>
                </c:pt>
              </c:strCache>
            </c:strRef>
          </c:cat>
          <c:val>
            <c:numRef>
              <c:f>'Figure 2.1.'!$V$13:$X$13</c:f>
              <c:numCache>
                <c:formatCode>0</c:formatCode>
                <c:ptCount val="3"/>
                <c:pt idx="0">
                  <c:v>17.5</c:v>
                </c:pt>
                <c:pt idx="1">
                  <c:v>10.344827586206897</c:v>
                </c:pt>
                <c:pt idx="2">
                  <c:v>8.5106382978723403</c:v>
                </c:pt>
              </c:numCache>
            </c:numRef>
          </c:val>
          <c:extLst>
            <c:ext xmlns:c16="http://schemas.microsoft.com/office/drawing/2014/chart" uri="{C3380CC4-5D6E-409C-BE32-E72D297353CC}">
              <c16:uniqueId val="{00000001-47B8-462E-ADED-24CE878BF834}"/>
            </c:ext>
          </c:extLst>
        </c:ser>
        <c:ser>
          <c:idx val="2"/>
          <c:order val="2"/>
          <c:tx>
            <c:strRef>
              <c:f>'Figure 2.1.'!$U$14</c:f>
              <c:strCache>
                <c:ptCount val="1"/>
                <c:pt idx="0">
                  <c:v>Mixed</c:v>
                </c:pt>
              </c:strCache>
            </c:strRef>
          </c:tx>
          <c:spPr>
            <a:solidFill>
              <a:srgbClr val="00B0F0"/>
            </a:solidFill>
            <a:ln>
              <a:noFill/>
            </a:ln>
            <a:effectLst/>
          </c:spPr>
          <c:invertIfNegative val="0"/>
          <c:cat>
            <c:strRef>
              <c:f>'Figure 2.1.'!$V$11:$X$11</c:f>
              <c:strCache>
                <c:ptCount val="3"/>
                <c:pt idx="0">
                  <c:v>AEs</c:v>
                </c:pt>
                <c:pt idx="1">
                  <c:v>EMs</c:v>
                </c:pt>
                <c:pt idx="2">
                  <c:v>LIDCs</c:v>
                </c:pt>
              </c:strCache>
            </c:strRef>
          </c:cat>
          <c:val>
            <c:numRef>
              <c:f>'Figure 2.1.'!$V$14:$X$14</c:f>
              <c:numCache>
                <c:formatCode>0</c:formatCode>
                <c:ptCount val="3"/>
                <c:pt idx="0">
                  <c:v>37.5</c:v>
                </c:pt>
                <c:pt idx="1">
                  <c:v>17.241379310344829</c:v>
                </c:pt>
                <c:pt idx="2">
                  <c:v>6.3829787234042552</c:v>
                </c:pt>
              </c:numCache>
            </c:numRef>
          </c:val>
          <c:extLst>
            <c:ext xmlns:c16="http://schemas.microsoft.com/office/drawing/2014/chart" uri="{C3380CC4-5D6E-409C-BE32-E72D297353CC}">
              <c16:uniqueId val="{00000002-47B8-462E-ADED-24CE878BF834}"/>
            </c:ext>
          </c:extLst>
        </c:ser>
        <c:ser>
          <c:idx val="3"/>
          <c:order val="3"/>
          <c:tx>
            <c:strRef>
              <c:f>'Figure 2.1.'!$U$15</c:f>
              <c:strCache>
                <c:ptCount val="1"/>
                <c:pt idx="0">
                  <c:v>No</c:v>
                </c:pt>
              </c:strCache>
            </c:strRef>
          </c:tx>
          <c:spPr>
            <a:solidFill>
              <a:srgbClr val="7030A0"/>
            </a:solidFill>
            <a:ln>
              <a:noFill/>
            </a:ln>
            <a:effectLst/>
          </c:spPr>
          <c:invertIfNegative val="0"/>
          <c:cat>
            <c:strRef>
              <c:f>'Figure 2.1.'!$V$11:$X$11</c:f>
              <c:strCache>
                <c:ptCount val="3"/>
                <c:pt idx="0">
                  <c:v>AEs</c:v>
                </c:pt>
                <c:pt idx="1">
                  <c:v>EMs</c:v>
                </c:pt>
                <c:pt idx="2">
                  <c:v>LIDCs</c:v>
                </c:pt>
              </c:strCache>
            </c:strRef>
          </c:cat>
          <c:val>
            <c:numRef>
              <c:f>'Figure 2.1.'!$V$15:$X$15</c:f>
              <c:numCache>
                <c:formatCode>0</c:formatCode>
                <c:ptCount val="3"/>
                <c:pt idx="0">
                  <c:v>5</c:v>
                </c:pt>
                <c:pt idx="1">
                  <c:v>51.724137931034484</c:v>
                </c:pt>
                <c:pt idx="2">
                  <c:v>70.212765957446805</c:v>
                </c:pt>
              </c:numCache>
            </c:numRef>
          </c:val>
          <c:extLst>
            <c:ext xmlns:c16="http://schemas.microsoft.com/office/drawing/2014/chart" uri="{C3380CC4-5D6E-409C-BE32-E72D297353CC}">
              <c16:uniqueId val="{00000003-47B8-462E-ADED-24CE878BF834}"/>
            </c:ext>
          </c:extLst>
        </c:ser>
        <c:dLbls>
          <c:showLegendKey val="0"/>
          <c:showVal val="0"/>
          <c:showCatName val="0"/>
          <c:showSerName val="0"/>
          <c:showPercent val="0"/>
          <c:showBubbleSize val="0"/>
        </c:dLbls>
        <c:gapWidth val="150"/>
        <c:overlap val="100"/>
        <c:axId val="1562365871"/>
        <c:axId val="1562388335"/>
      </c:barChart>
      <c:catAx>
        <c:axId val="1562365871"/>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2388335"/>
        <c:crosses val="autoZero"/>
        <c:auto val="1"/>
        <c:lblAlgn val="ctr"/>
        <c:lblOffset val="100"/>
        <c:noMultiLvlLbl val="0"/>
      </c:catAx>
      <c:valAx>
        <c:axId val="1562388335"/>
        <c:scaling>
          <c:orientation val="minMax"/>
          <c:max val="100"/>
        </c:scaling>
        <c:delete val="0"/>
        <c:axPos val="l"/>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2365871"/>
        <c:crosses val="autoZero"/>
        <c:crossBetween val="between"/>
        <c:majorUnit val="10"/>
      </c:valAx>
      <c:spPr>
        <a:noFill/>
        <a:ln>
          <a:noFill/>
        </a:ln>
        <a:effectLst/>
      </c:spPr>
    </c:plotArea>
    <c:legend>
      <c:legendPos val="b"/>
      <c:layout>
        <c:manualLayout>
          <c:xMode val="edge"/>
          <c:yMode val="edge"/>
          <c:x val="0.17321560533088706"/>
          <c:y val="9.9410009646230119E-2"/>
          <c:w val="0.72760241480078924"/>
          <c:h val="0.1167969449447416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5328083989508E-2"/>
          <c:y val="0.14722573773007522"/>
          <c:w val="0.88681911636045496"/>
          <c:h val="0.6959448993040197"/>
        </c:manualLayout>
      </c:layout>
      <c:areaChart>
        <c:grouping val="standard"/>
        <c:varyColors val="0"/>
        <c:ser>
          <c:idx val="2"/>
          <c:order val="1"/>
          <c:tx>
            <c:strRef>
              <c:f>'Figure 2.2.'!$U$4</c:f>
              <c:strCache>
                <c:ptCount val="1"/>
                <c:pt idx="0">
                  <c:v>Debt/GDP &gt; 50 percent, band, lower</c:v>
                </c:pt>
              </c:strCache>
            </c:strRef>
          </c:tx>
          <c:spPr>
            <a:solidFill>
              <a:schemeClr val="accent1">
                <a:lumMod val="60000"/>
                <a:lumOff val="40000"/>
              </a:schemeClr>
            </a:solidFill>
            <a:ln w="28575" cap="rnd">
              <a:noFill/>
              <a:prstDash val="dash"/>
              <a:round/>
            </a:ln>
            <a:effectLst/>
          </c:spPr>
          <c:cat>
            <c:numRef>
              <c:f>'Figure 2.2.'!$R$5:$R$11</c:f>
              <c:numCache>
                <c:formatCode>General</c:formatCode>
                <c:ptCount val="7"/>
                <c:pt idx="0">
                  <c:v>-1</c:v>
                </c:pt>
                <c:pt idx="1">
                  <c:v>0</c:v>
                </c:pt>
                <c:pt idx="2">
                  <c:v>1</c:v>
                </c:pt>
                <c:pt idx="3">
                  <c:v>2</c:v>
                </c:pt>
                <c:pt idx="4">
                  <c:v>3</c:v>
                </c:pt>
                <c:pt idx="5">
                  <c:v>4</c:v>
                </c:pt>
                <c:pt idx="6">
                  <c:v>5</c:v>
                </c:pt>
              </c:numCache>
            </c:numRef>
          </c:cat>
          <c:val>
            <c:numRef>
              <c:f>'Figure 2.2.'!$U$5:$U$11</c:f>
              <c:numCache>
                <c:formatCode>0.0</c:formatCode>
                <c:ptCount val="7"/>
                <c:pt idx="0">
                  <c:v>0</c:v>
                </c:pt>
                <c:pt idx="1">
                  <c:v>-0.60747989000000002</c:v>
                </c:pt>
                <c:pt idx="2">
                  <c:v>-0.80459221999999997</c:v>
                </c:pt>
                <c:pt idx="3">
                  <c:v>-0.85690906</c:v>
                </c:pt>
                <c:pt idx="4">
                  <c:v>-0.91211631999999998</c:v>
                </c:pt>
                <c:pt idx="5">
                  <c:v>-0.84746480000000002</c:v>
                </c:pt>
                <c:pt idx="6">
                  <c:v>-0.94378545999999996</c:v>
                </c:pt>
              </c:numCache>
            </c:numRef>
          </c:val>
          <c:extLst>
            <c:ext xmlns:c16="http://schemas.microsoft.com/office/drawing/2014/chart" uri="{C3380CC4-5D6E-409C-BE32-E72D297353CC}">
              <c16:uniqueId val="{00000000-AD10-4C2F-B0C5-C026157F2301}"/>
            </c:ext>
          </c:extLst>
        </c:ser>
        <c:ser>
          <c:idx val="1"/>
          <c:order val="2"/>
          <c:tx>
            <c:strRef>
              <c:f>'Figure 2.2.'!$T$4</c:f>
              <c:strCache>
                <c:ptCount val="1"/>
                <c:pt idx="0">
                  <c:v>Debt/GDP &gt; 50 percent, band, upper</c:v>
                </c:pt>
              </c:strCache>
            </c:strRef>
          </c:tx>
          <c:spPr>
            <a:solidFill>
              <a:schemeClr val="bg1"/>
            </a:solidFill>
            <a:ln w="28575" cap="rnd">
              <a:noFill/>
              <a:prstDash val="dash"/>
              <a:round/>
            </a:ln>
            <a:effectLst/>
          </c:spPr>
          <c:cat>
            <c:numRef>
              <c:f>'Figure 2.2.'!$R$5:$R$11</c:f>
              <c:numCache>
                <c:formatCode>General</c:formatCode>
                <c:ptCount val="7"/>
                <c:pt idx="0">
                  <c:v>-1</c:v>
                </c:pt>
                <c:pt idx="1">
                  <c:v>0</c:v>
                </c:pt>
                <c:pt idx="2">
                  <c:v>1</c:v>
                </c:pt>
                <c:pt idx="3">
                  <c:v>2</c:v>
                </c:pt>
                <c:pt idx="4">
                  <c:v>3</c:v>
                </c:pt>
                <c:pt idx="5">
                  <c:v>4</c:v>
                </c:pt>
                <c:pt idx="6">
                  <c:v>5</c:v>
                </c:pt>
              </c:numCache>
            </c:numRef>
          </c:cat>
          <c:val>
            <c:numRef>
              <c:f>'Figure 2.2.'!$T$5:$T$11</c:f>
              <c:numCache>
                <c:formatCode>0.0</c:formatCode>
                <c:ptCount val="7"/>
                <c:pt idx="0">
                  <c:v>0</c:v>
                </c:pt>
                <c:pt idx="1">
                  <c:v>-0.17030334999999999</c:v>
                </c:pt>
                <c:pt idx="2">
                  <c:v>-0.43699768999999999</c:v>
                </c:pt>
                <c:pt idx="3">
                  <c:v>-0.34256708000000002</c:v>
                </c:pt>
                <c:pt idx="4">
                  <c:v>-0.41971286000000002</c:v>
                </c:pt>
                <c:pt idx="5">
                  <c:v>-0.36788601999999998</c:v>
                </c:pt>
                <c:pt idx="6">
                  <c:v>-0.35715624000000001</c:v>
                </c:pt>
              </c:numCache>
            </c:numRef>
          </c:val>
          <c:extLst>
            <c:ext xmlns:c16="http://schemas.microsoft.com/office/drawing/2014/chart" uri="{C3380CC4-5D6E-409C-BE32-E72D297353CC}">
              <c16:uniqueId val="{00000001-AD10-4C2F-B0C5-C026157F2301}"/>
            </c:ext>
          </c:extLst>
        </c:ser>
        <c:dLbls>
          <c:showLegendKey val="0"/>
          <c:showVal val="0"/>
          <c:showCatName val="0"/>
          <c:showSerName val="0"/>
          <c:showPercent val="0"/>
          <c:showBubbleSize val="0"/>
        </c:dLbls>
        <c:axId val="543323760"/>
        <c:axId val="1"/>
      </c:areaChart>
      <c:lineChart>
        <c:grouping val="standard"/>
        <c:varyColors val="0"/>
        <c:ser>
          <c:idx val="0"/>
          <c:order val="0"/>
          <c:tx>
            <c:strRef>
              <c:f>'Figure 2.2.'!$S$4</c:f>
              <c:strCache>
                <c:ptCount val="1"/>
                <c:pt idx="0">
                  <c:v>Debt/GDP &gt; 50 percent</c:v>
                </c:pt>
              </c:strCache>
            </c:strRef>
          </c:tx>
          <c:spPr>
            <a:ln w="28575" cap="rnd">
              <a:solidFill>
                <a:srgbClr val="0033CC"/>
              </a:solidFill>
              <a:round/>
            </a:ln>
            <a:effectLst/>
          </c:spPr>
          <c:marker>
            <c:symbol val="none"/>
          </c:marker>
          <c:cat>
            <c:numRef>
              <c:f>'Figure 2.2.'!$R$5:$R$11</c:f>
              <c:numCache>
                <c:formatCode>General</c:formatCode>
                <c:ptCount val="7"/>
                <c:pt idx="0">
                  <c:v>-1</c:v>
                </c:pt>
                <c:pt idx="1">
                  <c:v>0</c:v>
                </c:pt>
                <c:pt idx="2">
                  <c:v>1</c:v>
                </c:pt>
                <c:pt idx="3">
                  <c:v>2</c:v>
                </c:pt>
                <c:pt idx="4">
                  <c:v>3</c:v>
                </c:pt>
                <c:pt idx="5">
                  <c:v>4</c:v>
                </c:pt>
                <c:pt idx="6">
                  <c:v>5</c:v>
                </c:pt>
              </c:numCache>
            </c:numRef>
          </c:cat>
          <c:val>
            <c:numRef>
              <c:f>'Figure 2.2.'!$S$5:$S$11</c:f>
              <c:numCache>
                <c:formatCode>0.0</c:formatCode>
                <c:ptCount val="7"/>
                <c:pt idx="0">
                  <c:v>0</c:v>
                </c:pt>
                <c:pt idx="1">
                  <c:v>-0.38889161999999999</c:v>
                </c:pt>
                <c:pt idx="2">
                  <c:v>-0.62079496000000001</c:v>
                </c:pt>
                <c:pt idx="3">
                  <c:v>-0.59973807000000001</c:v>
                </c:pt>
                <c:pt idx="4">
                  <c:v>-0.66591458999999997</c:v>
                </c:pt>
                <c:pt idx="5">
                  <c:v>-0.60767541000000003</c:v>
                </c:pt>
                <c:pt idx="6">
                  <c:v>-0.65047085000000004</c:v>
                </c:pt>
              </c:numCache>
            </c:numRef>
          </c:val>
          <c:smooth val="0"/>
          <c:extLst>
            <c:ext xmlns:c16="http://schemas.microsoft.com/office/drawing/2014/chart" uri="{C3380CC4-5D6E-409C-BE32-E72D297353CC}">
              <c16:uniqueId val="{00000002-AD10-4C2F-B0C5-C026157F2301}"/>
            </c:ext>
          </c:extLst>
        </c:ser>
        <c:ser>
          <c:idx val="3"/>
          <c:order val="3"/>
          <c:tx>
            <c:strRef>
              <c:f>'Figure 2.2.'!$V$4</c:f>
              <c:strCache>
                <c:ptCount val="1"/>
                <c:pt idx="0">
                  <c:v>Debt/GDP &lt;= 50 percent</c:v>
                </c:pt>
              </c:strCache>
            </c:strRef>
          </c:tx>
          <c:spPr>
            <a:ln w="25400">
              <a:solidFill>
                <a:srgbClr val="AD4F0F"/>
              </a:solidFill>
              <a:prstDash val="lgDash"/>
            </a:ln>
          </c:spPr>
          <c:marker>
            <c:symbol val="none"/>
          </c:marker>
          <c:cat>
            <c:numRef>
              <c:f>'Figure 2.2.'!$R$5:$R$11</c:f>
              <c:numCache>
                <c:formatCode>General</c:formatCode>
                <c:ptCount val="7"/>
                <c:pt idx="0">
                  <c:v>-1</c:v>
                </c:pt>
                <c:pt idx="1">
                  <c:v>0</c:v>
                </c:pt>
                <c:pt idx="2">
                  <c:v>1</c:v>
                </c:pt>
                <c:pt idx="3">
                  <c:v>2</c:v>
                </c:pt>
                <c:pt idx="4">
                  <c:v>3</c:v>
                </c:pt>
                <c:pt idx="5">
                  <c:v>4</c:v>
                </c:pt>
                <c:pt idx="6">
                  <c:v>5</c:v>
                </c:pt>
              </c:numCache>
            </c:numRef>
          </c:cat>
          <c:val>
            <c:numRef>
              <c:f>'Figure 2.2.'!$V$5:$V$11</c:f>
              <c:numCache>
                <c:formatCode>0.0</c:formatCode>
                <c:ptCount val="7"/>
                <c:pt idx="0">
                  <c:v>0</c:v>
                </c:pt>
                <c:pt idx="1">
                  <c:v>-5.5352459999999999E-2</c:v>
                </c:pt>
                <c:pt idx="2">
                  <c:v>-0.14105877</c:v>
                </c:pt>
                <c:pt idx="3">
                  <c:v>-0.23442798000000001</c:v>
                </c:pt>
                <c:pt idx="4">
                  <c:v>-0.27934318000000002</c:v>
                </c:pt>
                <c:pt idx="5">
                  <c:v>-0.27377219000000003</c:v>
                </c:pt>
                <c:pt idx="6">
                  <c:v>-0.20808283999999999</c:v>
                </c:pt>
              </c:numCache>
            </c:numRef>
          </c:val>
          <c:smooth val="0"/>
          <c:extLst>
            <c:ext xmlns:c16="http://schemas.microsoft.com/office/drawing/2014/chart" uri="{C3380CC4-5D6E-409C-BE32-E72D297353CC}">
              <c16:uniqueId val="{00000003-AD10-4C2F-B0C5-C026157F2301}"/>
            </c:ext>
          </c:extLst>
        </c:ser>
        <c:ser>
          <c:idx val="4"/>
          <c:order val="4"/>
          <c:tx>
            <c:strRef>
              <c:f>'Figure 2.2.'!$W$4</c:f>
              <c:strCache>
                <c:ptCount val="1"/>
                <c:pt idx="0">
                  <c:v>Debt/GDP &lt;= 50 percent, band, upper</c:v>
                </c:pt>
              </c:strCache>
            </c:strRef>
          </c:tx>
          <c:spPr>
            <a:ln w="28575" cap="rnd">
              <a:solidFill>
                <a:srgbClr val="AD4F0F"/>
              </a:solidFill>
              <a:prstDash val="sysDash"/>
              <a:round/>
            </a:ln>
            <a:effectLst/>
          </c:spPr>
          <c:marker>
            <c:symbol val="none"/>
          </c:marker>
          <c:cat>
            <c:numRef>
              <c:f>'Figure 2.2.'!$R$5:$R$11</c:f>
              <c:numCache>
                <c:formatCode>General</c:formatCode>
                <c:ptCount val="7"/>
                <c:pt idx="0">
                  <c:v>-1</c:v>
                </c:pt>
                <c:pt idx="1">
                  <c:v>0</c:v>
                </c:pt>
                <c:pt idx="2">
                  <c:v>1</c:v>
                </c:pt>
                <c:pt idx="3">
                  <c:v>2</c:v>
                </c:pt>
                <c:pt idx="4">
                  <c:v>3</c:v>
                </c:pt>
                <c:pt idx="5">
                  <c:v>4</c:v>
                </c:pt>
                <c:pt idx="6">
                  <c:v>5</c:v>
                </c:pt>
              </c:numCache>
            </c:numRef>
          </c:cat>
          <c:val>
            <c:numRef>
              <c:f>'Figure 2.2.'!$W$5:$W$11</c:f>
              <c:numCache>
                <c:formatCode>0.0</c:formatCode>
                <c:ptCount val="7"/>
                <c:pt idx="0">
                  <c:v>0</c:v>
                </c:pt>
                <c:pt idx="1">
                  <c:v>2.6611240000000001E-2</c:v>
                </c:pt>
                <c:pt idx="2">
                  <c:v>-6.9333099999999995E-2</c:v>
                </c:pt>
                <c:pt idx="3">
                  <c:v>-0.13870392000000001</c:v>
                </c:pt>
                <c:pt idx="4">
                  <c:v>-0.14634969</c:v>
                </c:pt>
                <c:pt idx="5">
                  <c:v>-0.11958920000000001</c:v>
                </c:pt>
                <c:pt idx="6">
                  <c:v>-5.3169210000000001E-2</c:v>
                </c:pt>
              </c:numCache>
            </c:numRef>
          </c:val>
          <c:smooth val="0"/>
          <c:extLst>
            <c:ext xmlns:c16="http://schemas.microsoft.com/office/drawing/2014/chart" uri="{C3380CC4-5D6E-409C-BE32-E72D297353CC}">
              <c16:uniqueId val="{00000004-AD10-4C2F-B0C5-C026157F2301}"/>
            </c:ext>
          </c:extLst>
        </c:ser>
        <c:ser>
          <c:idx val="5"/>
          <c:order val="5"/>
          <c:tx>
            <c:strRef>
              <c:f>'Figure 2.2.'!$X$4</c:f>
              <c:strCache>
                <c:ptCount val="1"/>
                <c:pt idx="0">
                  <c:v>Debt/GDP &lt;= 50 percent, band, lower</c:v>
                </c:pt>
              </c:strCache>
            </c:strRef>
          </c:tx>
          <c:spPr>
            <a:ln w="28575" cap="rnd">
              <a:solidFill>
                <a:srgbClr val="AD4F0F"/>
              </a:solidFill>
              <a:prstDash val="sysDash"/>
              <a:round/>
            </a:ln>
            <a:effectLst/>
          </c:spPr>
          <c:marker>
            <c:symbol val="none"/>
          </c:marker>
          <c:cat>
            <c:numRef>
              <c:f>'Figure 2.2.'!$R$5:$R$11</c:f>
              <c:numCache>
                <c:formatCode>General</c:formatCode>
                <c:ptCount val="7"/>
                <c:pt idx="0">
                  <c:v>-1</c:v>
                </c:pt>
                <c:pt idx="1">
                  <c:v>0</c:v>
                </c:pt>
                <c:pt idx="2">
                  <c:v>1</c:v>
                </c:pt>
                <c:pt idx="3">
                  <c:v>2</c:v>
                </c:pt>
                <c:pt idx="4">
                  <c:v>3</c:v>
                </c:pt>
                <c:pt idx="5">
                  <c:v>4</c:v>
                </c:pt>
                <c:pt idx="6">
                  <c:v>5</c:v>
                </c:pt>
              </c:numCache>
            </c:numRef>
          </c:cat>
          <c:val>
            <c:numRef>
              <c:f>'Figure 2.2.'!$X$5:$X$11</c:f>
              <c:numCache>
                <c:formatCode>0.0</c:formatCode>
                <c:ptCount val="7"/>
                <c:pt idx="0">
                  <c:v>0</c:v>
                </c:pt>
                <c:pt idx="1">
                  <c:v>-0.13731615999999999</c:v>
                </c:pt>
                <c:pt idx="2">
                  <c:v>-0.21278443999999999</c:v>
                </c:pt>
                <c:pt idx="3">
                  <c:v>-0.33015203999999998</c:v>
                </c:pt>
                <c:pt idx="4">
                  <c:v>-0.41233666000000002</c:v>
                </c:pt>
                <c:pt idx="5">
                  <c:v>-0.42795518999999999</c:v>
                </c:pt>
                <c:pt idx="6">
                  <c:v>-0.36299647000000002</c:v>
                </c:pt>
              </c:numCache>
            </c:numRef>
          </c:val>
          <c:smooth val="0"/>
          <c:extLst>
            <c:ext xmlns:c16="http://schemas.microsoft.com/office/drawing/2014/chart" uri="{C3380CC4-5D6E-409C-BE32-E72D297353CC}">
              <c16:uniqueId val="{00000005-AD10-4C2F-B0C5-C026157F2301}"/>
            </c:ext>
          </c:extLst>
        </c:ser>
        <c:dLbls>
          <c:showLegendKey val="0"/>
          <c:showVal val="0"/>
          <c:showCatName val="0"/>
          <c:showSerName val="0"/>
          <c:showPercent val="0"/>
          <c:showBubbleSize val="0"/>
        </c:dLbls>
        <c:marker val="1"/>
        <c:smooth val="0"/>
        <c:axId val="543323760"/>
        <c:axId val="1"/>
      </c:lineChart>
      <c:catAx>
        <c:axId val="543323760"/>
        <c:scaling>
          <c:orientation val="minMax"/>
        </c:scaling>
        <c:delete val="0"/>
        <c:axPos val="b"/>
        <c:numFmt formatCode="General" sourceLinked="1"/>
        <c:majorTickMark val="none"/>
        <c:minorTickMark val="none"/>
        <c:tickLblPos val="low"/>
        <c:spPr>
          <a:noFill/>
          <a:ln w="22225" cap="flat" cmpd="sng" algn="ctr">
            <a:solidFill>
              <a:sysClr val="windowText" lastClr="000000"/>
            </a:solidFill>
            <a:round/>
          </a:ln>
          <a:effectLst/>
        </c:spPr>
        <c:txPr>
          <a:bodyPr rot="0" vert="horz"/>
          <a:lstStyle/>
          <a:p>
            <a:pPr>
              <a:defRPr sz="16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0.4"/>
          <c:min val="-1.2"/>
        </c:scaling>
        <c:delete val="0"/>
        <c:axPos val="l"/>
        <c:numFmt formatCode="0.0" sourceLinked="1"/>
        <c:majorTickMark val="out"/>
        <c:minorTickMark val="none"/>
        <c:tickLblPos val="nextTo"/>
        <c:spPr>
          <a:noFill/>
          <a:ln w="9525">
            <a:solidFill>
              <a:schemeClr val="tx1"/>
            </a:solidFill>
          </a:ln>
          <a:effectLst/>
        </c:spPr>
        <c:txPr>
          <a:bodyPr rot="0" vert="horz"/>
          <a:lstStyle/>
          <a:p>
            <a:pPr>
              <a:defRPr sz="1600" b="0" i="0" u="none" strike="noStrike" baseline="0">
                <a:solidFill>
                  <a:srgbClr val="000000"/>
                </a:solidFill>
                <a:latin typeface="Arial"/>
                <a:ea typeface="Arial"/>
                <a:cs typeface="Arial"/>
              </a:defRPr>
            </a:pPr>
            <a:endParaRPr lang="en-US"/>
          </a:p>
        </c:txPr>
        <c:crossAx val="543323760"/>
        <c:crosses val="autoZero"/>
        <c:crossBetween val="between"/>
        <c:majorUnit val="0.4"/>
      </c:valAx>
      <c:spPr>
        <a:noFill/>
        <a:ln w="25400">
          <a:noFill/>
        </a:ln>
      </c:spPr>
    </c:plotArea>
    <c:legend>
      <c:legendPos val="r"/>
      <c:legendEntry>
        <c:idx val="0"/>
        <c:delete val="1"/>
      </c:legendEntry>
      <c:legendEntry>
        <c:idx val="1"/>
        <c:delete val="1"/>
      </c:legendEntry>
      <c:legendEntry>
        <c:idx val="4"/>
        <c:delete val="1"/>
      </c:legendEntry>
      <c:legendEntry>
        <c:idx val="5"/>
        <c:delete val="1"/>
      </c:legendEntry>
      <c:layout>
        <c:manualLayout>
          <c:xMode val="edge"/>
          <c:yMode val="edge"/>
          <c:x val="9.3490482110788781E-2"/>
          <c:y val="0.69248732810798352"/>
          <c:w val="0.5935067274485426"/>
          <c:h val="0.17515853440906881"/>
        </c:manualLayout>
      </c:layout>
      <c:overlay val="0"/>
      <c:spPr>
        <a:no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9129483814524"/>
          <c:y val="7.8742826638195651E-2"/>
          <c:w val="0.83655314960629923"/>
          <c:h val="0.71940433293295969"/>
        </c:manualLayout>
      </c:layout>
      <c:areaChart>
        <c:grouping val="standard"/>
        <c:varyColors val="0"/>
        <c:ser>
          <c:idx val="1"/>
          <c:order val="1"/>
          <c:tx>
            <c:strRef>
              <c:f>'Figure 2.2.'!$T$15</c:f>
              <c:strCache>
                <c:ptCount val="1"/>
                <c:pt idx="0">
                  <c:v>All countries in the sample, band, upper</c:v>
                </c:pt>
              </c:strCache>
            </c:strRef>
          </c:tx>
          <c:spPr>
            <a:solidFill>
              <a:schemeClr val="accent1">
                <a:lumMod val="60000"/>
                <a:lumOff val="40000"/>
              </a:schemeClr>
            </a:solidFill>
            <a:ln>
              <a:noFill/>
            </a:ln>
            <a:effectLst/>
          </c:spPr>
          <c:cat>
            <c:numRef>
              <c:f>'Figure 2.2.'!$R$16:$R$22</c:f>
              <c:numCache>
                <c:formatCode>General</c:formatCode>
                <c:ptCount val="7"/>
                <c:pt idx="0">
                  <c:v>-1</c:v>
                </c:pt>
                <c:pt idx="1">
                  <c:v>0</c:v>
                </c:pt>
                <c:pt idx="2">
                  <c:v>1</c:v>
                </c:pt>
                <c:pt idx="3">
                  <c:v>2</c:v>
                </c:pt>
                <c:pt idx="4">
                  <c:v>3</c:v>
                </c:pt>
                <c:pt idx="5">
                  <c:v>4</c:v>
                </c:pt>
                <c:pt idx="6">
                  <c:v>5</c:v>
                </c:pt>
              </c:numCache>
            </c:numRef>
          </c:cat>
          <c:val>
            <c:numRef>
              <c:f>'Figure 2.2.'!$T$16:$T$22</c:f>
              <c:numCache>
                <c:formatCode>0.0</c:formatCode>
                <c:ptCount val="7"/>
                <c:pt idx="0">
                  <c:v>0</c:v>
                </c:pt>
                <c:pt idx="1">
                  <c:v>0.19647012999999999</c:v>
                </c:pt>
                <c:pt idx="2">
                  <c:v>0.22870420999999999</c:v>
                </c:pt>
                <c:pt idx="3">
                  <c:v>0.32985532000000001</c:v>
                </c:pt>
                <c:pt idx="4">
                  <c:v>0.20971187999999999</c:v>
                </c:pt>
                <c:pt idx="5">
                  <c:v>4.9444490000000001E-2</c:v>
                </c:pt>
                <c:pt idx="6">
                  <c:v>0.13556298</c:v>
                </c:pt>
              </c:numCache>
            </c:numRef>
          </c:val>
          <c:extLst>
            <c:ext xmlns:c16="http://schemas.microsoft.com/office/drawing/2014/chart" uri="{C3380CC4-5D6E-409C-BE32-E72D297353CC}">
              <c16:uniqueId val="{00000000-39FD-43C2-83C1-ECEB353952B1}"/>
            </c:ext>
          </c:extLst>
        </c:ser>
        <c:ser>
          <c:idx val="2"/>
          <c:order val="2"/>
          <c:tx>
            <c:strRef>
              <c:f>'Figure 2.2.'!$U$15</c:f>
              <c:strCache>
                <c:ptCount val="1"/>
                <c:pt idx="0">
                  <c:v>All countries in the sample, band, lower</c:v>
                </c:pt>
              </c:strCache>
            </c:strRef>
          </c:tx>
          <c:spPr>
            <a:gradFill>
              <a:gsLst>
                <a:gs pos="74000">
                  <a:schemeClr val="bg1"/>
                </a:gs>
                <a:gs pos="76000">
                  <a:schemeClr val="accent1">
                    <a:lumMod val="60000"/>
                    <a:lumOff val="40000"/>
                  </a:schemeClr>
                </a:gs>
              </a:gsLst>
              <a:lin ang="5400000" scaled="1"/>
            </a:gradFill>
            <a:ln>
              <a:noFill/>
            </a:ln>
            <a:effectLst/>
          </c:spPr>
          <c:cat>
            <c:numRef>
              <c:f>'Figure 2.2.'!$R$16:$R$22</c:f>
              <c:numCache>
                <c:formatCode>General</c:formatCode>
                <c:ptCount val="7"/>
                <c:pt idx="0">
                  <c:v>-1</c:v>
                </c:pt>
                <c:pt idx="1">
                  <c:v>0</c:v>
                </c:pt>
                <c:pt idx="2">
                  <c:v>1</c:v>
                </c:pt>
                <c:pt idx="3">
                  <c:v>2</c:v>
                </c:pt>
                <c:pt idx="4">
                  <c:v>3</c:v>
                </c:pt>
                <c:pt idx="5">
                  <c:v>4</c:v>
                </c:pt>
                <c:pt idx="6">
                  <c:v>5</c:v>
                </c:pt>
              </c:numCache>
            </c:numRef>
          </c:cat>
          <c:val>
            <c:numRef>
              <c:f>'Figure 2.2.'!$U$16:$U$22</c:f>
              <c:numCache>
                <c:formatCode>0.0</c:formatCode>
                <c:ptCount val="7"/>
                <c:pt idx="0">
                  <c:v>0</c:v>
                </c:pt>
                <c:pt idx="1">
                  <c:v>1.997028E-2</c:v>
                </c:pt>
                <c:pt idx="2">
                  <c:v>0.10902815</c:v>
                </c:pt>
                <c:pt idx="3">
                  <c:v>2.3350909999999999E-2</c:v>
                </c:pt>
                <c:pt idx="4">
                  <c:v>1.056612E-2</c:v>
                </c:pt>
                <c:pt idx="5">
                  <c:v>-4.6733799999999999E-2</c:v>
                </c:pt>
                <c:pt idx="6">
                  <c:v>-5.3146470000000001E-2</c:v>
                </c:pt>
              </c:numCache>
            </c:numRef>
          </c:val>
          <c:extLst>
            <c:ext xmlns:c16="http://schemas.microsoft.com/office/drawing/2014/chart" uri="{C3380CC4-5D6E-409C-BE32-E72D297353CC}">
              <c16:uniqueId val="{00000001-39FD-43C2-83C1-ECEB353952B1}"/>
            </c:ext>
          </c:extLst>
        </c:ser>
        <c:dLbls>
          <c:showLegendKey val="0"/>
          <c:showVal val="0"/>
          <c:showCatName val="0"/>
          <c:showSerName val="0"/>
          <c:showPercent val="0"/>
          <c:showBubbleSize val="0"/>
        </c:dLbls>
        <c:axId val="543312528"/>
        <c:axId val="1"/>
      </c:areaChart>
      <c:lineChart>
        <c:grouping val="standard"/>
        <c:varyColors val="0"/>
        <c:ser>
          <c:idx val="0"/>
          <c:order val="0"/>
          <c:tx>
            <c:v>All countries in the sample</c:v>
          </c:tx>
          <c:spPr>
            <a:ln w="28575" cap="rnd">
              <a:solidFill>
                <a:srgbClr val="0033CC"/>
              </a:solidFill>
              <a:round/>
            </a:ln>
            <a:effectLst/>
          </c:spPr>
          <c:marker>
            <c:symbol val="none"/>
          </c:marker>
          <c:cat>
            <c:numRef>
              <c:f>'Figure 2.2.'!$R$16:$R$22</c:f>
              <c:numCache>
                <c:formatCode>General</c:formatCode>
                <c:ptCount val="7"/>
                <c:pt idx="0">
                  <c:v>-1</c:v>
                </c:pt>
                <c:pt idx="1">
                  <c:v>0</c:v>
                </c:pt>
                <c:pt idx="2">
                  <c:v>1</c:v>
                </c:pt>
                <c:pt idx="3">
                  <c:v>2</c:v>
                </c:pt>
                <c:pt idx="4">
                  <c:v>3</c:v>
                </c:pt>
                <c:pt idx="5">
                  <c:v>4</c:v>
                </c:pt>
                <c:pt idx="6">
                  <c:v>5</c:v>
                </c:pt>
              </c:numCache>
            </c:numRef>
          </c:cat>
          <c:val>
            <c:numRef>
              <c:f>'Figure 2.2.'!$S$16:$S$22</c:f>
              <c:numCache>
                <c:formatCode>0.0</c:formatCode>
                <c:ptCount val="7"/>
                <c:pt idx="0">
                  <c:v>0</c:v>
                </c:pt>
                <c:pt idx="1">
                  <c:v>0.1082202</c:v>
                </c:pt>
                <c:pt idx="2">
                  <c:v>0.16886618</c:v>
                </c:pt>
                <c:pt idx="3">
                  <c:v>0.17660312</c:v>
                </c:pt>
                <c:pt idx="4">
                  <c:v>0.110139</c:v>
                </c:pt>
                <c:pt idx="5">
                  <c:v>1.35535E-3</c:v>
                </c:pt>
                <c:pt idx="6">
                  <c:v>4.1208250000000002E-2</c:v>
                </c:pt>
              </c:numCache>
            </c:numRef>
          </c:val>
          <c:smooth val="0"/>
          <c:extLst>
            <c:ext xmlns:c16="http://schemas.microsoft.com/office/drawing/2014/chart" uri="{C3380CC4-5D6E-409C-BE32-E72D297353CC}">
              <c16:uniqueId val="{00000002-39FD-43C2-83C1-ECEB353952B1}"/>
            </c:ext>
          </c:extLst>
        </c:ser>
        <c:dLbls>
          <c:showLegendKey val="0"/>
          <c:showVal val="0"/>
          <c:showCatName val="0"/>
          <c:showSerName val="0"/>
          <c:showPercent val="0"/>
          <c:showBubbleSize val="0"/>
        </c:dLbls>
        <c:marker val="1"/>
        <c:smooth val="0"/>
        <c:axId val="543312528"/>
        <c:axId val="1"/>
      </c:lineChart>
      <c:catAx>
        <c:axId val="543312528"/>
        <c:scaling>
          <c:orientation val="minMax"/>
        </c:scaling>
        <c:delete val="0"/>
        <c:axPos val="b"/>
        <c:numFmt formatCode="General" sourceLinked="1"/>
        <c:majorTickMark val="none"/>
        <c:minorTickMark val="none"/>
        <c:tickLblPos val="low"/>
        <c:spPr>
          <a:noFill/>
          <a:ln w="22225" cap="flat" cmpd="sng" algn="ctr">
            <a:solidFill>
              <a:schemeClr val="tx1">
                <a:alpha val="99000"/>
              </a:schemeClr>
            </a:solidFill>
            <a:round/>
          </a:ln>
          <a:effectLst/>
        </c:spPr>
        <c:txPr>
          <a:bodyPr rot="0" vert="horz"/>
          <a:lstStyle/>
          <a:p>
            <a:pPr>
              <a:defRPr sz="16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0.4"/>
          <c:min val="-1.2"/>
        </c:scaling>
        <c:delete val="0"/>
        <c:axPos val="l"/>
        <c:numFmt formatCode="0.0" sourceLinked="1"/>
        <c:majorTickMark val="out"/>
        <c:minorTickMark val="none"/>
        <c:tickLblPos val="nextTo"/>
        <c:spPr>
          <a:noFill/>
          <a:ln w="9525">
            <a:solidFill>
              <a:schemeClr val="tx1"/>
            </a:solidFill>
          </a:ln>
          <a:effectLst/>
        </c:spPr>
        <c:txPr>
          <a:bodyPr rot="0" vert="horz"/>
          <a:lstStyle/>
          <a:p>
            <a:pPr>
              <a:defRPr sz="1600" b="0" i="0" u="none" strike="noStrike" baseline="0">
                <a:solidFill>
                  <a:srgbClr val="000000"/>
                </a:solidFill>
                <a:latin typeface="Arial"/>
                <a:ea typeface="Arial"/>
                <a:cs typeface="Arial"/>
              </a:defRPr>
            </a:pPr>
            <a:endParaRPr lang="en-US"/>
          </a:p>
        </c:txPr>
        <c:crossAx val="543312528"/>
        <c:crosses val="autoZero"/>
        <c:crossBetween val="between"/>
        <c:majorUnit val="0.4"/>
      </c:valAx>
      <c:spPr>
        <a:noFill/>
        <a:ln w="25400">
          <a:noFill/>
        </a:ln>
      </c:spPr>
    </c:plotArea>
    <c:legend>
      <c:legendPos val="r"/>
      <c:legendEntry>
        <c:idx val="0"/>
        <c:delete val="1"/>
      </c:legendEntry>
      <c:legendEntry>
        <c:idx val="1"/>
        <c:delete val="1"/>
      </c:legendEntry>
      <c:layout>
        <c:manualLayout>
          <c:xMode val="edge"/>
          <c:yMode val="edge"/>
          <c:x val="0.13469825571361732"/>
          <c:y val="0.61195967434905918"/>
          <c:w val="0.57450897417409075"/>
          <c:h val="0.11514226944574968"/>
        </c:manualLayout>
      </c:layout>
      <c:overlay val="0"/>
      <c:txPr>
        <a:bodyPr/>
        <a:lstStyle/>
        <a:p>
          <a:pPr>
            <a:defRPr sz="1300"/>
          </a:pPr>
          <a:endParaRPr lang="en-US"/>
        </a:p>
      </c:txPr>
    </c:legend>
    <c:plotVisOnly val="1"/>
    <c:dispBlanksAs val="gap"/>
    <c:showDLblsOverMax val="0"/>
  </c:chart>
  <c:spPr>
    <a:solidFill>
      <a:schemeClr val="bg1"/>
    </a:solidFill>
    <a:ln w="9525" cap="flat" cmpd="sng" algn="ctr">
      <a:noFill/>
      <a:round/>
    </a:ln>
    <a:effectLst/>
  </c:spPr>
  <c:txPr>
    <a:bodyPr/>
    <a:lstStyle/>
    <a:p>
      <a:pPr>
        <a:defRPr sz="16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5328083989508E-2"/>
          <c:y val="0.14722573773007522"/>
          <c:w val="0.88681911636045496"/>
          <c:h val="0.6959448993040197"/>
        </c:manualLayout>
      </c:layout>
      <c:areaChart>
        <c:grouping val="standard"/>
        <c:varyColors val="0"/>
        <c:ser>
          <c:idx val="2"/>
          <c:order val="1"/>
          <c:tx>
            <c:strRef>
              <c:f>'Figure 2.3.'!$U$4</c:f>
              <c:strCache>
                <c:ptCount val="1"/>
                <c:pt idx="0">
                  <c:v>Debt/GDP &gt; 50 percent, band, lower</c:v>
                </c:pt>
              </c:strCache>
            </c:strRef>
          </c:tx>
          <c:spPr>
            <a:solidFill>
              <a:schemeClr val="accent1">
                <a:lumMod val="60000"/>
                <a:lumOff val="40000"/>
              </a:schemeClr>
            </a:solidFill>
            <a:ln w="25400">
              <a:noFill/>
            </a:ln>
          </c:spPr>
          <c:cat>
            <c:numLit>
              <c:formatCode>General</c:formatCode>
              <c:ptCount val="7"/>
              <c:pt idx="0">
                <c:v>-1</c:v>
              </c:pt>
              <c:pt idx="1">
                <c:v>0</c:v>
              </c:pt>
              <c:pt idx="2">
                <c:v>1</c:v>
              </c:pt>
              <c:pt idx="3">
                <c:v>2</c:v>
              </c:pt>
              <c:pt idx="4">
                <c:v>3</c:v>
              </c:pt>
              <c:pt idx="5">
                <c:v>4</c:v>
              </c:pt>
              <c:pt idx="6">
                <c:v>5</c:v>
              </c:pt>
            </c:numLit>
          </c:cat>
          <c:val>
            <c:numRef>
              <c:f>'Figure 2.3.'!$U$5:$U$11</c:f>
              <c:numCache>
                <c:formatCode>0.0</c:formatCode>
                <c:ptCount val="7"/>
                <c:pt idx="0">
                  <c:v>0</c:v>
                </c:pt>
                <c:pt idx="1">
                  <c:v>-0.61850035999999997</c:v>
                </c:pt>
                <c:pt idx="2">
                  <c:v>-1.2457039999999999</c:v>
                </c:pt>
                <c:pt idx="3">
                  <c:v>-1.0298042999999999</c:v>
                </c:pt>
                <c:pt idx="4">
                  <c:v>-1.1930305999999999</c:v>
                </c:pt>
                <c:pt idx="5">
                  <c:v>-1.2659857999999999</c:v>
                </c:pt>
                <c:pt idx="6">
                  <c:v>-1.2318867</c:v>
                </c:pt>
              </c:numCache>
            </c:numRef>
          </c:val>
          <c:extLst>
            <c:ext xmlns:c16="http://schemas.microsoft.com/office/drawing/2014/chart" uri="{C3380CC4-5D6E-409C-BE32-E72D297353CC}">
              <c16:uniqueId val="{00000000-4B1F-436B-975B-81355AD27B2C}"/>
            </c:ext>
          </c:extLst>
        </c:ser>
        <c:ser>
          <c:idx val="1"/>
          <c:order val="2"/>
          <c:tx>
            <c:strRef>
              <c:f>'Figure 2.3.'!$T$4</c:f>
              <c:strCache>
                <c:ptCount val="1"/>
                <c:pt idx="0">
                  <c:v>Debt/GDP &gt; 50 percent, band, upper</c:v>
                </c:pt>
              </c:strCache>
            </c:strRef>
          </c:tx>
          <c:spPr>
            <a:solidFill>
              <a:schemeClr val="bg1"/>
            </a:solidFill>
            <a:ln w="25400">
              <a:noFill/>
            </a:ln>
          </c:spPr>
          <c:cat>
            <c:numLit>
              <c:formatCode>General</c:formatCode>
              <c:ptCount val="7"/>
              <c:pt idx="0">
                <c:v>-1</c:v>
              </c:pt>
              <c:pt idx="1">
                <c:v>0</c:v>
              </c:pt>
              <c:pt idx="2">
                <c:v>1</c:v>
              </c:pt>
              <c:pt idx="3">
                <c:v>2</c:v>
              </c:pt>
              <c:pt idx="4">
                <c:v>3</c:v>
              </c:pt>
              <c:pt idx="5">
                <c:v>4</c:v>
              </c:pt>
              <c:pt idx="6">
                <c:v>5</c:v>
              </c:pt>
            </c:numLit>
          </c:cat>
          <c:val>
            <c:numRef>
              <c:f>'Figure 2.3.'!$T$5:$T$11</c:f>
              <c:numCache>
                <c:formatCode>0.0</c:formatCode>
                <c:ptCount val="7"/>
                <c:pt idx="0">
                  <c:v>0</c:v>
                </c:pt>
                <c:pt idx="1">
                  <c:v>-0.12796669999999999</c:v>
                </c:pt>
                <c:pt idx="2">
                  <c:v>-0.57408517000000003</c:v>
                </c:pt>
                <c:pt idx="3">
                  <c:v>-0.39533835000000001</c:v>
                </c:pt>
                <c:pt idx="4">
                  <c:v>-0.53261113000000004</c:v>
                </c:pt>
                <c:pt idx="5">
                  <c:v>-0.60800224999999997</c:v>
                </c:pt>
                <c:pt idx="6">
                  <c:v>-0.48879223999999999</c:v>
                </c:pt>
              </c:numCache>
            </c:numRef>
          </c:val>
          <c:extLst>
            <c:ext xmlns:c16="http://schemas.microsoft.com/office/drawing/2014/chart" uri="{C3380CC4-5D6E-409C-BE32-E72D297353CC}">
              <c16:uniqueId val="{00000001-4B1F-436B-975B-81355AD27B2C}"/>
            </c:ext>
          </c:extLst>
        </c:ser>
        <c:dLbls>
          <c:showLegendKey val="0"/>
          <c:showVal val="0"/>
          <c:showCatName val="0"/>
          <c:showSerName val="0"/>
          <c:showPercent val="0"/>
          <c:showBubbleSize val="0"/>
        </c:dLbls>
        <c:axId val="730429376"/>
        <c:axId val="1"/>
      </c:areaChart>
      <c:lineChart>
        <c:grouping val="standard"/>
        <c:varyColors val="0"/>
        <c:ser>
          <c:idx val="0"/>
          <c:order val="0"/>
          <c:tx>
            <c:strRef>
              <c:f>'Figure 2.3.'!$S$4</c:f>
              <c:strCache>
                <c:ptCount val="1"/>
                <c:pt idx="0">
                  <c:v>Debt/GDP &gt; 50 percent</c:v>
                </c:pt>
              </c:strCache>
            </c:strRef>
          </c:tx>
          <c:spPr>
            <a:ln w="25400">
              <a:solidFill>
                <a:srgbClr val="0033CC"/>
              </a:solidFill>
            </a:ln>
          </c:spPr>
          <c:marker>
            <c:symbol val="none"/>
          </c:marker>
          <c:cat>
            <c:numRef>
              <c:f>'Figure 2.3.'!$R$5:$R$11</c:f>
              <c:numCache>
                <c:formatCode>General</c:formatCode>
                <c:ptCount val="7"/>
                <c:pt idx="0">
                  <c:v>-1</c:v>
                </c:pt>
                <c:pt idx="1">
                  <c:v>0</c:v>
                </c:pt>
                <c:pt idx="2">
                  <c:v>1</c:v>
                </c:pt>
                <c:pt idx="3">
                  <c:v>2</c:v>
                </c:pt>
                <c:pt idx="4">
                  <c:v>3</c:v>
                </c:pt>
                <c:pt idx="5">
                  <c:v>4</c:v>
                </c:pt>
                <c:pt idx="6">
                  <c:v>5</c:v>
                </c:pt>
              </c:numCache>
            </c:numRef>
          </c:cat>
          <c:val>
            <c:numRef>
              <c:f>'Figure 2.3.'!$S$5:$S$11</c:f>
              <c:numCache>
                <c:formatCode>0.0</c:formatCode>
                <c:ptCount val="7"/>
                <c:pt idx="0">
                  <c:v>0</c:v>
                </c:pt>
                <c:pt idx="1">
                  <c:v>-0.37323352999999998</c:v>
                </c:pt>
                <c:pt idx="2">
                  <c:v>-0.90989456000000002</c:v>
                </c:pt>
                <c:pt idx="3">
                  <c:v>-0.71257130999999996</c:v>
                </c:pt>
                <c:pt idx="4">
                  <c:v>-0.86282086000000002</c:v>
                </c:pt>
                <c:pt idx="5">
                  <c:v>-0.93699401999999998</c:v>
                </c:pt>
                <c:pt idx="6">
                  <c:v>-0.86033945000000001</c:v>
                </c:pt>
              </c:numCache>
            </c:numRef>
          </c:val>
          <c:smooth val="0"/>
          <c:extLst>
            <c:ext xmlns:c16="http://schemas.microsoft.com/office/drawing/2014/chart" uri="{C3380CC4-5D6E-409C-BE32-E72D297353CC}">
              <c16:uniqueId val="{00000002-4B1F-436B-975B-81355AD27B2C}"/>
            </c:ext>
          </c:extLst>
        </c:ser>
        <c:ser>
          <c:idx val="3"/>
          <c:order val="3"/>
          <c:tx>
            <c:strRef>
              <c:f>'Figure 2.3.'!$V$4</c:f>
              <c:strCache>
                <c:ptCount val="1"/>
                <c:pt idx="0">
                  <c:v>Debt/GDP &lt;= 50 percent</c:v>
                </c:pt>
              </c:strCache>
            </c:strRef>
          </c:tx>
          <c:spPr>
            <a:ln w="25400">
              <a:solidFill>
                <a:schemeClr val="accent2">
                  <a:lumMod val="75000"/>
                </a:schemeClr>
              </a:solidFill>
              <a:prstDash val="lgDash"/>
            </a:ln>
          </c:spPr>
          <c:marker>
            <c:symbol val="none"/>
          </c:marker>
          <c:cat>
            <c:numRef>
              <c:f>'Figure 2.3.'!$R$5:$R$11</c:f>
              <c:numCache>
                <c:formatCode>General</c:formatCode>
                <c:ptCount val="7"/>
                <c:pt idx="0">
                  <c:v>-1</c:v>
                </c:pt>
                <c:pt idx="1">
                  <c:v>0</c:v>
                </c:pt>
                <c:pt idx="2">
                  <c:v>1</c:v>
                </c:pt>
                <c:pt idx="3">
                  <c:v>2</c:v>
                </c:pt>
                <c:pt idx="4">
                  <c:v>3</c:v>
                </c:pt>
                <c:pt idx="5">
                  <c:v>4</c:v>
                </c:pt>
                <c:pt idx="6">
                  <c:v>5</c:v>
                </c:pt>
              </c:numCache>
            </c:numRef>
          </c:cat>
          <c:val>
            <c:numRef>
              <c:f>'Figure 2.3.'!$V$5:$V$11</c:f>
              <c:numCache>
                <c:formatCode>0.0</c:formatCode>
                <c:ptCount val="7"/>
                <c:pt idx="0">
                  <c:v>0</c:v>
                </c:pt>
                <c:pt idx="1">
                  <c:v>-5.5503549999999999E-2</c:v>
                </c:pt>
                <c:pt idx="2">
                  <c:v>-0.18681449</c:v>
                </c:pt>
                <c:pt idx="3">
                  <c:v>-0.26779719000000002</c:v>
                </c:pt>
                <c:pt idx="4">
                  <c:v>-0.3048342</c:v>
                </c:pt>
                <c:pt idx="5">
                  <c:v>-0.27116119</c:v>
                </c:pt>
                <c:pt idx="6">
                  <c:v>-0.13194624999999999</c:v>
                </c:pt>
              </c:numCache>
            </c:numRef>
          </c:val>
          <c:smooth val="0"/>
          <c:extLst>
            <c:ext xmlns:c16="http://schemas.microsoft.com/office/drawing/2014/chart" uri="{C3380CC4-5D6E-409C-BE32-E72D297353CC}">
              <c16:uniqueId val="{00000003-4B1F-436B-975B-81355AD27B2C}"/>
            </c:ext>
          </c:extLst>
        </c:ser>
        <c:ser>
          <c:idx val="4"/>
          <c:order val="4"/>
          <c:tx>
            <c:strRef>
              <c:f>'Figure 2.3.'!$W$4</c:f>
              <c:strCache>
                <c:ptCount val="1"/>
                <c:pt idx="0">
                  <c:v>Debt/GDP &lt;= 50 percent, band, upper</c:v>
                </c:pt>
              </c:strCache>
            </c:strRef>
          </c:tx>
          <c:spPr>
            <a:ln w="25400">
              <a:solidFill>
                <a:schemeClr val="accent2">
                  <a:lumMod val="75000"/>
                </a:schemeClr>
              </a:solidFill>
              <a:prstDash val="sysDash"/>
            </a:ln>
          </c:spPr>
          <c:marker>
            <c:symbol val="none"/>
          </c:marker>
          <c:cat>
            <c:numRef>
              <c:f>'Figure 2.3.'!$R$5:$R$11</c:f>
              <c:numCache>
                <c:formatCode>General</c:formatCode>
                <c:ptCount val="7"/>
                <c:pt idx="0">
                  <c:v>-1</c:v>
                </c:pt>
                <c:pt idx="1">
                  <c:v>0</c:v>
                </c:pt>
                <c:pt idx="2">
                  <c:v>1</c:v>
                </c:pt>
                <c:pt idx="3">
                  <c:v>2</c:v>
                </c:pt>
                <c:pt idx="4">
                  <c:v>3</c:v>
                </c:pt>
                <c:pt idx="5">
                  <c:v>4</c:v>
                </c:pt>
                <c:pt idx="6">
                  <c:v>5</c:v>
                </c:pt>
              </c:numCache>
            </c:numRef>
          </c:cat>
          <c:val>
            <c:numRef>
              <c:f>'Figure 2.3.'!$W$5:$W$11</c:f>
              <c:numCache>
                <c:formatCode>0.0</c:formatCode>
                <c:ptCount val="7"/>
                <c:pt idx="0">
                  <c:v>0</c:v>
                </c:pt>
                <c:pt idx="1">
                  <c:v>9.3086020000000005E-2</c:v>
                </c:pt>
                <c:pt idx="2">
                  <c:v>-7.6710150000000005E-2</c:v>
                </c:pt>
                <c:pt idx="3">
                  <c:v>-0.15237244999999999</c:v>
                </c:pt>
                <c:pt idx="4">
                  <c:v>-0.14509485999999999</c:v>
                </c:pt>
                <c:pt idx="5">
                  <c:v>-9.2145119999999997E-2</c:v>
                </c:pt>
                <c:pt idx="6">
                  <c:v>4.9578839999999999E-2</c:v>
                </c:pt>
              </c:numCache>
            </c:numRef>
          </c:val>
          <c:smooth val="0"/>
          <c:extLst>
            <c:ext xmlns:c16="http://schemas.microsoft.com/office/drawing/2014/chart" uri="{C3380CC4-5D6E-409C-BE32-E72D297353CC}">
              <c16:uniqueId val="{00000004-4B1F-436B-975B-81355AD27B2C}"/>
            </c:ext>
          </c:extLst>
        </c:ser>
        <c:ser>
          <c:idx val="5"/>
          <c:order val="5"/>
          <c:tx>
            <c:strRef>
              <c:f>'Figure 2.3.'!$X$4</c:f>
              <c:strCache>
                <c:ptCount val="1"/>
                <c:pt idx="0">
                  <c:v>Debt/GDP &lt;= 50 percent, band, lower</c:v>
                </c:pt>
              </c:strCache>
            </c:strRef>
          </c:tx>
          <c:spPr>
            <a:ln w="25400">
              <a:solidFill>
                <a:schemeClr val="accent2">
                  <a:lumMod val="75000"/>
                </a:schemeClr>
              </a:solidFill>
              <a:prstDash val="sysDash"/>
            </a:ln>
          </c:spPr>
          <c:marker>
            <c:symbol val="none"/>
          </c:marker>
          <c:cat>
            <c:numRef>
              <c:f>'Figure 2.3.'!$R$5:$R$11</c:f>
              <c:numCache>
                <c:formatCode>General</c:formatCode>
                <c:ptCount val="7"/>
                <c:pt idx="0">
                  <c:v>-1</c:v>
                </c:pt>
                <c:pt idx="1">
                  <c:v>0</c:v>
                </c:pt>
                <c:pt idx="2">
                  <c:v>1</c:v>
                </c:pt>
                <c:pt idx="3">
                  <c:v>2</c:v>
                </c:pt>
                <c:pt idx="4">
                  <c:v>3</c:v>
                </c:pt>
                <c:pt idx="5">
                  <c:v>4</c:v>
                </c:pt>
                <c:pt idx="6">
                  <c:v>5</c:v>
                </c:pt>
              </c:numCache>
            </c:numRef>
          </c:cat>
          <c:val>
            <c:numRef>
              <c:f>'Figure 2.3.'!$X$5:$X$11</c:f>
              <c:numCache>
                <c:formatCode>0.0</c:formatCode>
                <c:ptCount val="7"/>
                <c:pt idx="0">
                  <c:v>0</c:v>
                </c:pt>
                <c:pt idx="1">
                  <c:v>-0.20409313000000001</c:v>
                </c:pt>
                <c:pt idx="2">
                  <c:v>-0.29691882000000003</c:v>
                </c:pt>
                <c:pt idx="3">
                  <c:v>-0.38322192999999999</c:v>
                </c:pt>
                <c:pt idx="4">
                  <c:v>-0.46457355</c:v>
                </c:pt>
                <c:pt idx="5">
                  <c:v>-0.45017724999999997</c:v>
                </c:pt>
                <c:pt idx="6">
                  <c:v>-0.31347132999999999</c:v>
                </c:pt>
              </c:numCache>
            </c:numRef>
          </c:val>
          <c:smooth val="0"/>
          <c:extLst>
            <c:ext xmlns:c16="http://schemas.microsoft.com/office/drawing/2014/chart" uri="{C3380CC4-5D6E-409C-BE32-E72D297353CC}">
              <c16:uniqueId val="{00000005-4B1F-436B-975B-81355AD27B2C}"/>
            </c:ext>
          </c:extLst>
        </c:ser>
        <c:dLbls>
          <c:showLegendKey val="0"/>
          <c:showVal val="0"/>
          <c:showCatName val="0"/>
          <c:showSerName val="0"/>
          <c:showPercent val="0"/>
          <c:showBubbleSize val="0"/>
        </c:dLbls>
        <c:marker val="1"/>
        <c:smooth val="0"/>
        <c:axId val="730429376"/>
        <c:axId val="1"/>
      </c:lineChart>
      <c:catAx>
        <c:axId val="730429376"/>
        <c:scaling>
          <c:orientation val="minMax"/>
        </c:scaling>
        <c:delete val="0"/>
        <c:axPos val="b"/>
        <c:numFmt formatCode="General" sourceLinked="1"/>
        <c:majorTickMark val="none"/>
        <c:minorTickMark val="none"/>
        <c:tickLblPos val="low"/>
        <c:spPr>
          <a:noFill/>
          <a:ln w="22225" cap="flat" cmpd="sng" algn="ctr">
            <a:solidFill>
              <a:sysClr val="windowText" lastClr="000000"/>
            </a:solidFill>
            <a:round/>
          </a:ln>
          <a:effectLst/>
        </c:spPr>
        <c:txPr>
          <a:bodyPr rot="0" vert="horz"/>
          <a:lstStyle/>
          <a:p>
            <a:pPr>
              <a:defRPr sz="16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1.2"/>
          <c:min val="-1.2"/>
        </c:scaling>
        <c:delete val="0"/>
        <c:axPos val="l"/>
        <c:numFmt formatCode="0.0" sourceLinked="1"/>
        <c:majorTickMark val="out"/>
        <c:minorTickMark val="none"/>
        <c:tickLblPos val="nextTo"/>
        <c:spPr>
          <a:noFill/>
          <a:ln w="9525">
            <a:solidFill>
              <a:schemeClr val="tx1"/>
            </a:solidFill>
          </a:ln>
          <a:effectLst/>
        </c:spPr>
        <c:txPr>
          <a:bodyPr rot="0" vert="horz"/>
          <a:lstStyle/>
          <a:p>
            <a:pPr>
              <a:defRPr sz="1600" b="0" i="0" u="none" strike="noStrike" baseline="0">
                <a:solidFill>
                  <a:srgbClr val="000000"/>
                </a:solidFill>
                <a:latin typeface="Arial"/>
                <a:ea typeface="Arial"/>
                <a:cs typeface="Arial"/>
              </a:defRPr>
            </a:pPr>
            <a:endParaRPr lang="en-US"/>
          </a:p>
        </c:txPr>
        <c:crossAx val="730429376"/>
        <c:crosses val="autoZero"/>
        <c:crossBetween val="between"/>
        <c:majorUnit val="0.60000000000000009"/>
      </c:valAx>
      <c:spPr>
        <a:noFill/>
        <a:ln w="25400">
          <a:noFill/>
        </a:ln>
      </c:spPr>
    </c:plotArea>
    <c:legend>
      <c:legendPos val="r"/>
      <c:legendEntry>
        <c:idx val="0"/>
        <c:delete val="1"/>
      </c:legendEntry>
      <c:legendEntry>
        <c:idx val="1"/>
        <c:delete val="1"/>
      </c:legendEntry>
      <c:legendEntry>
        <c:idx val="4"/>
        <c:delete val="1"/>
      </c:legendEntry>
      <c:legendEntry>
        <c:idx val="5"/>
        <c:delete val="1"/>
      </c:legendEntry>
      <c:layout>
        <c:manualLayout>
          <c:xMode val="edge"/>
          <c:yMode val="edge"/>
          <c:x val="0.14125331273939695"/>
          <c:y val="0.1663338210187485"/>
          <c:w val="0.5762730115056991"/>
          <c:h val="0.16430548344017204"/>
        </c:manualLayout>
      </c:layout>
      <c:overlay val="0"/>
      <c:spPr>
        <a:no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6475648877225"/>
          <c:y val="0.10185185185185185"/>
          <c:w val="0.85584581927259096"/>
          <c:h val="0.78182123067949838"/>
        </c:manualLayout>
      </c:layout>
      <c:lineChart>
        <c:grouping val="standard"/>
        <c:varyColors val="0"/>
        <c:ser>
          <c:idx val="1"/>
          <c:order val="0"/>
          <c:tx>
            <c:v>Advanced Economies, excluding United States</c:v>
          </c:tx>
          <c:spPr>
            <a:ln w="28575" cap="rnd">
              <a:solidFill>
                <a:schemeClr val="accent1"/>
              </a:solidFill>
              <a:round/>
            </a:ln>
            <a:effectLst/>
          </c:spPr>
          <c:marker>
            <c:symbol val="none"/>
          </c:marker>
          <c:cat>
            <c:strRef>
              <c:extLst>
                <c:ext xmlns:c15="http://schemas.microsoft.com/office/drawing/2012/chart" uri="{02D57815-91ED-43cb-92C2-25804820EDAC}">
                  <c15:fullRef>
                    <c15:sqref>'Figure 1.2'!$O$3:$AJ$3</c15:sqref>
                  </c15:fullRef>
                </c:ext>
              </c:extLst>
              <c:f>'Figure 1.2'!$O$3:$AI$3</c:f>
              <c:strCache>
                <c:ptCount val="21"/>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pt idx="19">
                  <c:v>26</c:v>
                </c:pt>
                <c:pt idx="20">
                  <c:v>27</c:v>
                </c:pt>
              </c:strCache>
            </c:strRef>
          </c:cat>
          <c:val>
            <c:numRef>
              <c:extLst>
                <c:ext xmlns:c15="http://schemas.microsoft.com/office/drawing/2012/chart" uri="{02D57815-91ED-43cb-92C2-25804820EDAC}">
                  <c15:fullRef>
                    <c15:sqref>'Figure 1.2'!$O$4:$AJ$4</c15:sqref>
                  </c15:fullRef>
                </c:ext>
              </c:extLst>
              <c:f>'Figure 1.2'!$O$4:$AI$4</c:f>
              <c:numCache>
                <c:formatCode>General</c:formatCode>
                <c:ptCount val="21"/>
                <c:pt idx="0">
                  <c:v>8.0905266792044834</c:v>
                </c:pt>
                <c:pt idx="1">
                  <c:v>7.85778869611205</c:v>
                </c:pt>
                <c:pt idx="2">
                  <c:v>8.9726955569010745</c:v>
                </c:pt>
                <c:pt idx="3">
                  <c:v>8.3045512175927954</c:v>
                </c:pt>
                <c:pt idx="4">
                  <c:v>9.0097356249643124</c:v>
                </c:pt>
                <c:pt idx="5">
                  <c:v>9.3846695097778419</c:v>
                </c:pt>
                <c:pt idx="6">
                  <c:v>8.4610020345514272</c:v>
                </c:pt>
                <c:pt idx="7">
                  <c:v>7.6580990936800903</c:v>
                </c:pt>
                <c:pt idx="8">
                  <c:v>6.9364903186171665</c:v>
                </c:pt>
                <c:pt idx="9">
                  <c:v>6.3987043122109233</c:v>
                </c:pt>
                <c:pt idx="10">
                  <c:v>5.8910212220270264</c:v>
                </c:pt>
                <c:pt idx="11">
                  <c:v>5.4980775809548996</c:v>
                </c:pt>
                <c:pt idx="12">
                  <c:v>4.7954101443092796</c:v>
                </c:pt>
                <c:pt idx="13">
                  <c:v>4.9566381616875699</c:v>
                </c:pt>
                <c:pt idx="14">
                  <c:v>4.3539102923592958</c:v>
                </c:pt>
                <c:pt idx="15">
                  <c:v>4.2777755240196811</c:v>
                </c:pt>
                <c:pt idx="16">
                  <c:v>4.7500641259695584</c:v>
                </c:pt>
                <c:pt idx="17">
                  <c:v>5.6772915431167439</c:v>
                </c:pt>
                <c:pt idx="18">
                  <c:v>5.7314900183049478</c:v>
                </c:pt>
                <c:pt idx="19">
                  <c:v>5.7059011815138634</c:v>
                </c:pt>
                <c:pt idx="20">
                  <c:v>5.889007353605666</c:v>
                </c:pt>
              </c:numCache>
            </c:numRef>
          </c:val>
          <c:smooth val="0"/>
          <c:extLst>
            <c:ext xmlns:c16="http://schemas.microsoft.com/office/drawing/2014/chart" uri="{C3380CC4-5D6E-409C-BE32-E72D297353CC}">
              <c16:uniqueId val="{00000000-8BDD-4D11-8302-BB6032DF7B9C}"/>
            </c:ext>
          </c:extLst>
        </c:ser>
        <c:ser>
          <c:idx val="0"/>
          <c:order val="1"/>
          <c:tx>
            <c:v>Low-income developing countries</c:v>
          </c:tx>
          <c:spPr>
            <a:ln w="28575" cap="rnd">
              <a:solidFill>
                <a:schemeClr val="accent6">
                  <a:lumMod val="75000"/>
                </a:schemeClr>
              </a:solidFill>
              <a:round/>
            </a:ln>
            <a:effectLst/>
          </c:spPr>
          <c:marker>
            <c:symbol val="none"/>
          </c:marker>
          <c:cat>
            <c:strRef>
              <c:extLst>
                <c:ext xmlns:c15="http://schemas.microsoft.com/office/drawing/2012/chart" uri="{02D57815-91ED-43cb-92C2-25804820EDAC}">
                  <c15:fullRef>
                    <c15:sqref>'Figure 1.2'!$O$3:$AJ$3</c15:sqref>
                  </c15:fullRef>
                </c:ext>
              </c:extLst>
              <c:f>'Figure 1.2'!$O$3:$AI$3</c:f>
              <c:strCache>
                <c:ptCount val="21"/>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pt idx="19">
                  <c:v>26</c:v>
                </c:pt>
                <c:pt idx="20">
                  <c:v>27</c:v>
                </c:pt>
              </c:strCache>
            </c:strRef>
          </c:cat>
          <c:val>
            <c:numRef>
              <c:extLst>
                <c:ext xmlns:c15="http://schemas.microsoft.com/office/drawing/2012/chart" uri="{02D57815-91ED-43cb-92C2-25804820EDAC}">
                  <c15:fullRef>
                    <c15:sqref>'Figure 1.2'!$O$6:$AJ$6</c15:sqref>
                  </c15:fullRef>
                </c:ext>
              </c:extLst>
              <c:f>'Figure 1.2'!$O$6:$AI$6</c:f>
              <c:numCache>
                <c:formatCode>General</c:formatCode>
                <c:ptCount val="21"/>
                <c:pt idx="0">
                  <c:v>6.5535239512211287</c:v>
                </c:pt>
                <c:pt idx="1">
                  <c:v>5.8958870623914317</c:v>
                </c:pt>
                <c:pt idx="2">
                  <c:v>5.6125259469355653</c:v>
                </c:pt>
                <c:pt idx="3">
                  <c:v>5.144464625994666</c:v>
                </c:pt>
                <c:pt idx="4">
                  <c:v>5.431883523367139</c:v>
                </c:pt>
                <c:pt idx="5">
                  <c:v>6.0389262717905616</c:v>
                </c:pt>
                <c:pt idx="6">
                  <c:v>5.494514103712751</c:v>
                </c:pt>
                <c:pt idx="7">
                  <c:v>5.218255523141198</c:v>
                </c:pt>
                <c:pt idx="8">
                  <c:v>6.1266956035361018</c:v>
                </c:pt>
                <c:pt idx="9">
                  <c:v>8.1242180103105195</c:v>
                </c:pt>
                <c:pt idx="10">
                  <c:v>7.9062085098725738</c:v>
                </c:pt>
                <c:pt idx="11">
                  <c:v>7.4986928587903012</c:v>
                </c:pt>
                <c:pt idx="12">
                  <c:v>8.5798816568047336</c:v>
                </c:pt>
                <c:pt idx="13">
                  <c:v>10.208736683322122</c:v>
                </c:pt>
                <c:pt idx="14">
                  <c:v>11.266013822060728</c:v>
                </c:pt>
                <c:pt idx="15">
                  <c:v>11.186011412565213</c:v>
                </c:pt>
                <c:pt idx="16">
                  <c:v>11.261960086151358</c:v>
                </c:pt>
                <c:pt idx="17">
                  <c:v>10.56015175472367</c:v>
                </c:pt>
                <c:pt idx="18">
                  <c:v>10.35727023985657</c:v>
                </c:pt>
                <c:pt idx="19">
                  <c:v>10.859017795428578</c:v>
                </c:pt>
                <c:pt idx="20">
                  <c:v>9.8982201123281008</c:v>
                </c:pt>
              </c:numCache>
            </c:numRef>
          </c:val>
          <c:smooth val="0"/>
          <c:extLst>
            <c:ext xmlns:c16="http://schemas.microsoft.com/office/drawing/2014/chart" uri="{C3380CC4-5D6E-409C-BE32-E72D297353CC}">
              <c16:uniqueId val="{00000001-8BDD-4D11-8302-BB6032DF7B9C}"/>
            </c:ext>
          </c:extLst>
        </c:ser>
        <c:ser>
          <c:idx val="2"/>
          <c:order val="2"/>
          <c:tx>
            <c:v>Emerging market and middle-income economies</c:v>
          </c:tx>
          <c:spPr>
            <a:ln w="28575" cap="rnd">
              <a:solidFill>
                <a:srgbClr val="C00000"/>
              </a:solidFill>
              <a:round/>
            </a:ln>
            <a:effectLst/>
          </c:spPr>
          <c:marker>
            <c:symbol val="none"/>
          </c:marker>
          <c:cat>
            <c:strRef>
              <c:extLst>
                <c:ext xmlns:c15="http://schemas.microsoft.com/office/drawing/2012/chart" uri="{02D57815-91ED-43cb-92C2-25804820EDAC}">
                  <c15:fullRef>
                    <c15:sqref>'Figure 1.2'!$O$3:$AJ$3</c15:sqref>
                  </c15:fullRef>
                </c:ext>
              </c:extLst>
              <c:f>'Figure 1.2'!$O$3:$AI$3</c:f>
              <c:strCache>
                <c:ptCount val="21"/>
                <c:pt idx="0">
                  <c:v>2007</c:v>
                </c:pt>
                <c:pt idx="1">
                  <c:v>08</c:v>
                </c:pt>
                <c:pt idx="2">
                  <c:v>09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pt idx="17">
                  <c:v>24</c:v>
                </c:pt>
                <c:pt idx="18">
                  <c:v>25</c:v>
                </c:pt>
                <c:pt idx="19">
                  <c:v>26</c:v>
                </c:pt>
                <c:pt idx="20">
                  <c:v>27</c:v>
                </c:pt>
              </c:strCache>
            </c:strRef>
          </c:cat>
          <c:val>
            <c:numRef>
              <c:extLst>
                <c:ext xmlns:c15="http://schemas.microsoft.com/office/drawing/2012/chart" uri="{02D57815-91ED-43cb-92C2-25804820EDAC}">
                  <c15:fullRef>
                    <c15:sqref>'Figure 1.2'!$O$5:$AJ$5</c15:sqref>
                  </c15:fullRef>
                </c:ext>
              </c:extLst>
              <c:f>'Figure 1.2'!$O$5:$AI$5</c:f>
              <c:numCache>
                <c:formatCode>General</c:formatCode>
                <c:ptCount val="21"/>
                <c:pt idx="0">
                  <c:v>11.12179152562082</c:v>
                </c:pt>
                <c:pt idx="1">
                  <c:v>9.6343696812295683</c:v>
                </c:pt>
                <c:pt idx="2">
                  <c:v>9.9529267831357799</c:v>
                </c:pt>
                <c:pt idx="3">
                  <c:v>9.9410765625148265</c:v>
                </c:pt>
                <c:pt idx="4">
                  <c:v>9.7839956989043806</c:v>
                </c:pt>
                <c:pt idx="5">
                  <c:v>9.391024516853145</c:v>
                </c:pt>
                <c:pt idx="6">
                  <c:v>9.4847030879019059</c:v>
                </c:pt>
                <c:pt idx="7">
                  <c:v>9.9405703005174608</c:v>
                </c:pt>
                <c:pt idx="8">
                  <c:v>8.8530787135737388</c:v>
                </c:pt>
                <c:pt idx="9">
                  <c:v>11.190669770161007</c:v>
                </c:pt>
                <c:pt idx="10">
                  <c:v>10.921386811783226</c:v>
                </c:pt>
                <c:pt idx="11">
                  <c:v>11.770095083464023</c:v>
                </c:pt>
                <c:pt idx="12">
                  <c:v>11.99321526679193</c:v>
                </c:pt>
                <c:pt idx="13">
                  <c:v>12.914041915061015</c:v>
                </c:pt>
                <c:pt idx="14">
                  <c:v>10.571895585720927</c:v>
                </c:pt>
                <c:pt idx="15">
                  <c:v>11.8412536096266</c:v>
                </c:pt>
                <c:pt idx="16">
                  <c:v>12.547250541538171</c:v>
                </c:pt>
                <c:pt idx="17">
                  <c:v>12.491726626395177</c:v>
                </c:pt>
                <c:pt idx="18">
                  <c:v>12.652205171172934</c:v>
                </c:pt>
                <c:pt idx="19">
                  <c:v>12.318267434519127</c:v>
                </c:pt>
                <c:pt idx="20">
                  <c:v>12.718976848374972</c:v>
                </c:pt>
              </c:numCache>
            </c:numRef>
          </c:val>
          <c:smooth val="0"/>
          <c:extLst>
            <c:ext xmlns:c16="http://schemas.microsoft.com/office/drawing/2014/chart" uri="{C3380CC4-5D6E-409C-BE32-E72D297353CC}">
              <c16:uniqueId val="{00000002-8BDD-4D11-8302-BB6032DF7B9C}"/>
            </c:ext>
          </c:extLst>
        </c:ser>
        <c:dLbls>
          <c:showLegendKey val="0"/>
          <c:showVal val="0"/>
          <c:showCatName val="0"/>
          <c:showSerName val="0"/>
          <c:showPercent val="0"/>
          <c:showBubbleSize val="0"/>
        </c:dLbls>
        <c:smooth val="0"/>
        <c:axId val="2110492655"/>
        <c:axId val="270843344"/>
      </c:lineChart>
      <c:catAx>
        <c:axId val="2110492655"/>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70843344"/>
        <c:crosses val="autoZero"/>
        <c:auto val="1"/>
        <c:lblAlgn val="ctr"/>
        <c:lblOffset val="100"/>
        <c:noMultiLvlLbl val="0"/>
      </c:catAx>
      <c:valAx>
        <c:axId val="270843344"/>
        <c:scaling>
          <c:orientation val="minMax"/>
          <c:max val="2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110492655"/>
        <c:crosses val="autoZero"/>
        <c:crossBetween val="between"/>
      </c:valAx>
      <c:spPr>
        <a:noFill/>
        <a:ln>
          <a:noFill/>
        </a:ln>
        <a:effectLst/>
      </c:spPr>
    </c:plotArea>
    <c:legend>
      <c:legendPos val="r"/>
      <c:layout>
        <c:manualLayout>
          <c:xMode val="edge"/>
          <c:yMode val="edge"/>
          <c:x val="0.16216612629303689"/>
          <c:y val="9.426855385408113E-2"/>
          <c:w val="0.76761904761904765"/>
          <c:h val="0.161241163872920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5328083989508E-2"/>
          <c:y val="0.14722573773007522"/>
          <c:w val="0.88681911636045496"/>
          <c:h val="0.6959448993040197"/>
        </c:manualLayout>
      </c:layout>
      <c:areaChart>
        <c:grouping val="standard"/>
        <c:varyColors val="0"/>
        <c:ser>
          <c:idx val="2"/>
          <c:order val="1"/>
          <c:tx>
            <c:strRef>
              <c:f>'Figure 2.3.'!$U$15</c:f>
              <c:strCache>
                <c:ptCount val="1"/>
                <c:pt idx="0">
                  <c:v>Debt/GDP &gt; 50 percent, band, lower</c:v>
                </c:pt>
              </c:strCache>
            </c:strRef>
          </c:tx>
          <c:spPr>
            <a:solidFill>
              <a:schemeClr val="accent1">
                <a:lumMod val="60000"/>
                <a:lumOff val="40000"/>
              </a:schemeClr>
            </a:solidFill>
            <a:ln w="25400">
              <a:noFill/>
            </a:ln>
          </c:spPr>
          <c:cat>
            <c:numLit>
              <c:formatCode>General</c:formatCode>
              <c:ptCount val="7"/>
              <c:pt idx="0">
                <c:v>-1</c:v>
              </c:pt>
              <c:pt idx="1">
                <c:v>0</c:v>
              </c:pt>
              <c:pt idx="2">
                <c:v>1</c:v>
              </c:pt>
              <c:pt idx="3">
                <c:v>2</c:v>
              </c:pt>
              <c:pt idx="4">
                <c:v>3</c:v>
              </c:pt>
              <c:pt idx="5">
                <c:v>4</c:v>
              </c:pt>
              <c:pt idx="6">
                <c:v>5</c:v>
              </c:pt>
            </c:numLit>
          </c:cat>
          <c:val>
            <c:numRef>
              <c:f>'Figure 2.3.'!$U$16:$U$22</c:f>
              <c:numCache>
                <c:formatCode>0.0</c:formatCode>
                <c:ptCount val="7"/>
                <c:pt idx="0">
                  <c:v>0</c:v>
                </c:pt>
                <c:pt idx="1">
                  <c:v>-0.28695470000000001</c:v>
                </c:pt>
                <c:pt idx="2">
                  <c:v>-0.43900689999999998</c:v>
                </c:pt>
                <c:pt idx="3">
                  <c:v>-0.52899443000000002</c:v>
                </c:pt>
                <c:pt idx="4">
                  <c:v>-0.72334986999999995</c:v>
                </c:pt>
                <c:pt idx="5">
                  <c:v>-0.79733452000000005</c:v>
                </c:pt>
                <c:pt idx="6">
                  <c:v>-0.74176063000000003</c:v>
                </c:pt>
              </c:numCache>
            </c:numRef>
          </c:val>
          <c:extLst>
            <c:ext xmlns:c16="http://schemas.microsoft.com/office/drawing/2014/chart" uri="{C3380CC4-5D6E-409C-BE32-E72D297353CC}">
              <c16:uniqueId val="{00000000-A870-4E74-A2A9-6508F4A9D557}"/>
            </c:ext>
          </c:extLst>
        </c:ser>
        <c:ser>
          <c:idx val="1"/>
          <c:order val="2"/>
          <c:tx>
            <c:strRef>
              <c:f>'Figure 2.3.'!$T$15</c:f>
              <c:strCache>
                <c:ptCount val="1"/>
                <c:pt idx="0">
                  <c:v>Debt/GDP &gt; 50 percent, band, upper</c:v>
                </c:pt>
              </c:strCache>
            </c:strRef>
          </c:tx>
          <c:spPr>
            <a:solidFill>
              <a:schemeClr val="accent1">
                <a:lumMod val="60000"/>
                <a:lumOff val="40000"/>
              </a:schemeClr>
            </a:solidFill>
            <a:ln w="25400">
              <a:noFill/>
            </a:ln>
          </c:spPr>
          <c:cat>
            <c:numLit>
              <c:formatCode>General</c:formatCode>
              <c:ptCount val="7"/>
              <c:pt idx="0">
                <c:v>-1</c:v>
              </c:pt>
              <c:pt idx="1">
                <c:v>0</c:v>
              </c:pt>
              <c:pt idx="2">
                <c:v>1</c:v>
              </c:pt>
              <c:pt idx="3">
                <c:v>2</c:v>
              </c:pt>
              <c:pt idx="4">
                <c:v>3</c:v>
              </c:pt>
              <c:pt idx="5">
                <c:v>4</c:v>
              </c:pt>
              <c:pt idx="6">
                <c:v>5</c:v>
              </c:pt>
            </c:numLit>
          </c:cat>
          <c:val>
            <c:numRef>
              <c:f>'Figure 2.3.'!$T$16:$T$22</c:f>
              <c:numCache>
                <c:formatCode>0.0</c:formatCode>
                <c:ptCount val="7"/>
                <c:pt idx="0">
                  <c:v>0</c:v>
                </c:pt>
                <c:pt idx="1">
                  <c:v>0.23969509999999999</c:v>
                </c:pt>
                <c:pt idx="2">
                  <c:v>0.65928878000000002</c:v>
                </c:pt>
                <c:pt idx="3">
                  <c:v>0.89415992</c:v>
                </c:pt>
                <c:pt idx="4">
                  <c:v>0.90772942000000001</c:v>
                </c:pt>
                <c:pt idx="5">
                  <c:v>0.81421228000000001</c:v>
                </c:pt>
                <c:pt idx="6">
                  <c:v>0.91930659000000003</c:v>
                </c:pt>
              </c:numCache>
            </c:numRef>
          </c:val>
          <c:extLst>
            <c:ext xmlns:c16="http://schemas.microsoft.com/office/drawing/2014/chart" uri="{C3380CC4-5D6E-409C-BE32-E72D297353CC}">
              <c16:uniqueId val="{00000001-A870-4E74-A2A9-6508F4A9D557}"/>
            </c:ext>
          </c:extLst>
        </c:ser>
        <c:dLbls>
          <c:showLegendKey val="0"/>
          <c:showVal val="0"/>
          <c:showCatName val="0"/>
          <c:showSerName val="0"/>
          <c:showPercent val="0"/>
          <c:showBubbleSize val="0"/>
        </c:dLbls>
        <c:axId val="730439360"/>
        <c:axId val="1"/>
      </c:areaChart>
      <c:lineChart>
        <c:grouping val="standard"/>
        <c:varyColors val="0"/>
        <c:ser>
          <c:idx val="0"/>
          <c:order val="0"/>
          <c:tx>
            <c:strRef>
              <c:f>'Figure 2.3.'!$S$15</c:f>
              <c:strCache>
                <c:ptCount val="1"/>
                <c:pt idx="0">
                  <c:v>Debt/GDP &gt; 50 percent</c:v>
                </c:pt>
              </c:strCache>
            </c:strRef>
          </c:tx>
          <c:spPr>
            <a:ln w="25400">
              <a:solidFill>
                <a:srgbClr val="0033CC"/>
              </a:solidFill>
            </a:ln>
          </c:spPr>
          <c:marker>
            <c:symbol val="none"/>
          </c:marker>
          <c:cat>
            <c:numRef>
              <c:f>'Figure 2.3.'!$R$16:$R$22</c:f>
              <c:numCache>
                <c:formatCode>General</c:formatCode>
                <c:ptCount val="7"/>
                <c:pt idx="0">
                  <c:v>-1</c:v>
                </c:pt>
                <c:pt idx="1">
                  <c:v>0</c:v>
                </c:pt>
                <c:pt idx="2">
                  <c:v>1</c:v>
                </c:pt>
                <c:pt idx="3">
                  <c:v>2</c:v>
                </c:pt>
                <c:pt idx="4">
                  <c:v>3</c:v>
                </c:pt>
                <c:pt idx="5">
                  <c:v>4</c:v>
                </c:pt>
                <c:pt idx="6">
                  <c:v>5</c:v>
                </c:pt>
              </c:numCache>
            </c:numRef>
          </c:cat>
          <c:val>
            <c:numRef>
              <c:f>'Figure 2.3.'!$S$16:$S$22</c:f>
              <c:numCache>
                <c:formatCode>0.0</c:formatCode>
                <c:ptCount val="7"/>
                <c:pt idx="0">
                  <c:v>0</c:v>
                </c:pt>
                <c:pt idx="1">
                  <c:v>-2.3629799999999999E-2</c:v>
                </c:pt>
                <c:pt idx="2">
                  <c:v>0.11014094000000001</c:v>
                </c:pt>
                <c:pt idx="3">
                  <c:v>0.18258274999999999</c:v>
                </c:pt>
                <c:pt idx="4">
                  <c:v>9.2189779999999999E-2</c:v>
                </c:pt>
                <c:pt idx="5">
                  <c:v>8.4388799999999993E-3</c:v>
                </c:pt>
                <c:pt idx="6">
                  <c:v>8.8772980000000001E-2</c:v>
                </c:pt>
              </c:numCache>
            </c:numRef>
          </c:val>
          <c:smooth val="0"/>
          <c:extLst>
            <c:ext xmlns:c16="http://schemas.microsoft.com/office/drawing/2014/chart" uri="{C3380CC4-5D6E-409C-BE32-E72D297353CC}">
              <c16:uniqueId val="{00000002-A870-4E74-A2A9-6508F4A9D557}"/>
            </c:ext>
          </c:extLst>
        </c:ser>
        <c:ser>
          <c:idx val="3"/>
          <c:order val="3"/>
          <c:tx>
            <c:strRef>
              <c:f>'Figure 2.3.'!$V$15</c:f>
              <c:strCache>
                <c:ptCount val="1"/>
                <c:pt idx="0">
                  <c:v>Debt/GDP &lt;= 50 percent</c:v>
                </c:pt>
              </c:strCache>
            </c:strRef>
          </c:tx>
          <c:spPr>
            <a:ln w="25400">
              <a:solidFill>
                <a:schemeClr val="accent2">
                  <a:lumMod val="75000"/>
                </a:schemeClr>
              </a:solidFill>
              <a:prstDash val="lgDash"/>
            </a:ln>
          </c:spPr>
          <c:marker>
            <c:symbol val="none"/>
          </c:marker>
          <c:cat>
            <c:numRef>
              <c:f>'Figure 2.3.'!$R$16:$R$22</c:f>
              <c:numCache>
                <c:formatCode>General</c:formatCode>
                <c:ptCount val="7"/>
                <c:pt idx="0">
                  <c:v>-1</c:v>
                </c:pt>
                <c:pt idx="1">
                  <c:v>0</c:v>
                </c:pt>
                <c:pt idx="2">
                  <c:v>1</c:v>
                </c:pt>
                <c:pt idx="3">
                  <c:v>2</c:v>
                </c:pt>
                <c:pt idx="4">
                  <c:v>3</c:v>
                </c:pt>
                <c:pt idx="5">
                  <c:v>4</c:v>
                </c:pt>
                <c:pt idx="6">
                  <c:v>5</c:v>
                </c:pt>
              </c:numCache>
            </c:numRef>
          </c:cat>
          <c:val>
            <c:numRef>
              <c:f>'Figure 2.3.'!$V$16:$V$22</c:f>
              <c:numCache>
                <c:formatCode>0.0</c:formatCode>
                <c:ptCount val="7"/>
                <c:pt idx="0">
                  <c:v>0</c:v>
                </c:pt>
                <c:pt idx="1">
                  <c:v>-0.1600702</c:v>
                </c:pt>
                <c:pt idx="2">
                  <c:v>-0.21497055000000001</c:v>
                </c:pt>
                <c:pt idx="3">
                  <c:v>-0.23257037999999999</c:v>
                </c:pt>
                <c:pt idx="4">
                  <c:v>-0.32774741000000002</c:v>
                </c:pt>
                <c:pt idx="5">
                  <c:v>-0.32712938000000003</c:v>
                </c:pt>
                <c:pt idx="6">
                  <c:v>-0.24598697</c:v>
                </c:pt>
              </c:numCache>
            </c:numRef>
          </c:val>
          <c:smooth val="0"/>
          <c:extLst>
            <c:ext xmlns:c16="http://schemas.microsoft.com/office/drawing/2014/chart" uri="{C3380CC4-5D6E-409C-BE32-E72D297353CC}">
              <c16:uniqueId val="{00000003-A870-4E74-A2A9-6508F4A9D557}"/>
            </c:ext>
          </c:extLst>
        </c:ser>
        <c:ser>
          <c:idx val="4"/>
          <c:order val="4"/>
          <c:tx>
            <c:strRef>
              <c:f>'Figure 2.3.'!$W$15</c:f>
              <c:strCache>
                <c:ptCount val="1"/>
                <c:pt idx="0">
                  <c:v>Debt/GDP &lt;= 50 percent, band, upper</c:v>
                </c:pt>
              </c:strCache>
            </c:strRef>
          </c:tx>
          <c:spPr>
            <a:ln w="25400">
              <a:solidFill>
                <a:schemeClr val="accent2">
                  <a:lumMod val="75000"/>
                </a:schemeClr>
              </a:solidFill>
              <a:prstDash val="sysDash"/>
            </a:ln>
          </c:spPr>
          <c:marker>
            <c:symbol val="none"/>
          </c:marker>
          <c:cat>
            <c:numRef>
              <c:f>'Figure 2.3.'!$R$16:$R$22</c:f>
              <c:numCache>
                <c:formatCode>General</c:formatCode>
                <c:ptCount val="7"/>
                <c:pt idx="0">
                  <c:v>-1</c:v>
                </c:pt>
                <c:pt idx="1">
                  <c:v>0</c:v>
                </c:pt>
                <c:pt idx="2">
                  <c:v>1</c:v>
                </c:pt>
                <c:pt idx="3">
                  <c:v>2</c:v>
                </c:pt>
                <c:pt idx="4">
                  <c:v>3</c:v>
                </c:pt>
                <c:pt idx="5">
                  <c:v>4</c:v>
                </c:pt>
                <c:pt idx="6">
                  <c:v>5</c:v>
                </c:pt>
              </c:numCache>
            </c:numRef>
          </c:cat>
          <c:val>
            <c:numRef>
              <c:f>'Figure 2.3.'!$W$16:$W$22</c:f>
              <c:numCache>
                <c:formatCode>0.0</c:formatCode>
                <c:ptCount val="7"/>
                <c:pt idx="0">
                  <c:v>0</c:v>
                </c:pt>
                <c:pt idx="1">
                  <c:v>-4.5609730000000001E-2</c:v>
                </c:pt>
                <c:pt idx="2">
                  <c:v>-3.8275289999999997E-2</c:v>
                </c:pt>
                <c:pt idx="3">
                  <c:v>1.7467739999999999E-2</c:v>
                </c:pt>
                <c:pt idx="4">
                  <c:v>-2.2478729999999999E-2</c:v>
                </c:pt>
                <c:pt idx="5">
                  <c:v>-2.4277670000000001E-2</c:v>
                </c:pt>
                <c:pt idx="6">
                  <c:v>9.4872780000000004E-2</c:v>
                </c:pt>
              </c:numCache>
            </c:numRef>
          </c:val>
          <c:smooth val="0"/>
          <c:extLst>
            <c:ext xmlns:c16="http://schemas.microsoft.com/office/drawing/2014/chart" uri="{C3380CC4-5D6E-409C-BE32-E72D297353CC}">
              <c16:uniqueId val="{00000004-A870-4E74-A2A9-6508F4A9D557}"/>
            </c:ext>
          </c:extLst>
        </c:ser>
        <c:ser>
          <c:idx val="5"/>
          <c:order val="5"/>
          <c:tx>
            <c:strRef>
              <c:f>'Figure 2.3.'!$X$15</c:f>
              <c:strCache>
                <c:ptCount val="1"/>
                <c:pt idx="0">
                  <c:v>Debt/GDP &lt;= 50 percent, band, lower</c:v>
                </c:pt>
              </c:strCache>
            </c:strRef>
          </c:tx>
          <c:spPr>
            <a:ln w="25400">
              <a:solidFill>
                <a:schemeClr val="accent2">
                  <a:lumMod val="75000"/>
                </a:schemeClr>
              </a:solidFill>
              <a:prstDash val="sysDash"/>
            </a:ln>
          </c:spPr>
          <c:marker>
            <c:symbol val="none"/>
          </c:marker>
          <c:cat>
            <c:numRef>
              <c:f>'Figure 2.3.'!$R$16:$R$22</c:f>
              <c:numCache>
                <c:formatCode>General</c:formatCode>
                <c:ptCount val="7"/>
                <c:pt idx="0">
                  <c:v>-1</c:v>
                </c:pt>
                <c:pt idx="1">
                  <c:v>0</c:v>
                </c:pt>
                <c:pt idx="2">
                  <c:v>1</c:v>
                </c:pt>
                <c:pt idx="3">
                  <c:v>2</c:v>
                </c:pt>
                <c:pt idx="4">
                  <c:v>3</c:v>
                </c:pt>
                <c:pt idx="5">
                  <c:v>4</c:v>
                </c:pt>
                <c:pt idx="6">
                  <c:v>5</c:v>
                </c:pt>
              </c:numCache>
            </c:numRef>
          </c:cat>
          <c:val>
            <c:numRef>
              <c:f>'Figure 2.3.'!$X$16:$X$22</c:f>
              <c:numCache>
                <c:formatCode>0.0</c:formatCode>
                <c:ptCount val="7"/>
                <c:pt idx="0">
                  <c:v>0</c:v>
                </c:pt>
                <c:pt idx="1">
                  <c:v>-0.27453065999999998</c:v>
                </c:pt>
                <c:pt idx="2">
                  <c:v>-0.39166580000000001</c:v>
                </c:pt>
                <c:pt idx="3">
                  <c:v>-0.4826085</c:v>
                </c:pt>
                <c:pt idx="4">
                  <c:v>-0.63301609000000003</c:v>
                </c:pt>
                <c:pt idx="5">
                  <c:v>-0.62998107999999997</c:v>
                </c:pt>
                <c:pt idx="6">
                  <c:v>-0.58684672000000004</c:v>
                </c:pt>
              </c:numCache>
            </c:numRef>
          </c:val>
          <c:smooth val="0"/>
          <c:extLst>
            <c:ext xmlns:c16="http://schemas.microsoft.com/office/drawing/2014/chart" uri="{C3380CC4-5D6E-409C-BE32-E72D297353CC}">
              <c16:uniqueId val="{00000005-A870-4E74-A2A9-6508F4A9D557}"/>
            </c:ext>
          </c:extLst>
        </c:ser>
        <c:dLbls>
          <c:showLegendKey val="0"/>
          <c:showVal val="0"/>
          <c:showCatName val="0"/>
          <c:showSerName val="0"/>
          <c:showPercent val="0"/>
          <c:showBubbleSize val="0"/>
        </c:dLbls>
        <c:marker val="1"/>
        <c:smooth val="0"/>
        <c:axId val="730439360"/>
        <c:axId val="1"/>
      </c:lineChart>
      <c:catAx>
        <c:axId val="730439360"/>
        <c:scaling>
          <c:orientation val="minMax"/>
        </c:scaling>
        <c:delete val="0"/>
        <c:axPos val="b"/>
        <c:numFmt formatCode="General" sourceLinked="1"/>
        <c:majorTickMark val="none"/>
        <c:minorTickMark val="none"/>
        <c:tickLblPos val="low"/>
        <c:spPr>
          <a:noFill/>
          <a:ln w="22225" cap="flat" cmpd="sng" algn="ctr">
            <a:solidFill>
              <a:sysClr val="windowText" lastClr="000000"/>
            </a:solidFill>
            <a:round/>
          </a:ln>
          <a:effectLst/>
        </c:spPr>
        <c:txPr>
          <a:bodyPr rot="0" vert="horz"/>
          <a:lstStyle/>
          <a:p>
            <a:pPr>
              <a:defRPr sz="16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1.2"/>
          <c:min val="-1.2"/>
        </c:scaling>
        <c:delete val="0"/>
        <c:axPos val="l"/>
        <c:numFmt formatCode="0.0" sourceLinked="0"/>
        <c:majorTickMark val="out"/>
        <c:minorTickMark val="none"/>
        <c:tickLblPos val="nextTo"/>
        <c:spPr>
          <a:noFill/>
          <a:ln w="9525">
            <a:solidFill>
              <a:schemeClr val="tx1"/>
            </a:solidFill>
          </a:ln>
          <a:effectLst/>
        </c:spPr>
        <c:txPr>
          <a:bodyPr rot="0" vert="horz"/>
          <a:lstStyle/>
          <a:p>
            <a:pPr>
              <a:defRPr sz="1600" b="0" i="0" u="none" strike="noStrike" baseline="0">
                <a:solidFill>
                  <a:srgbClr val="000000"/>
                </a:solidFill>
                <a:latin typeface="Arial"/>
                <a:ea typeface="Arial"/>
                <a:cs typeface="Arial"/>
              </a:defRPr>
            </a:pPr>
            <a:endParaRPr lang="en-US"/>
          </a:p>
        </c:txPr>
        <c:crossAx val="730439360"/>
        <c:crosses val="autoZero"/>
        <c:crossBetween val="between"/>
        <c:majorUnit val="0.60000000000000009"/>
      </c:valAx>
      <c:spPr>
        <a:noFill/>
        <a:ln w="25400">
          <a:noFill/>
        </a:ln>
      </c:spPr>
    </c:plotArea>
    <c:plotVisOnly val="1"/>
    <c:dispBlanksAs val="gap"/>
    <c:showDLblsOverMax val="0"/>
  </c:chart>
  <c:spPr>
    <a:solidFill>
      <a:schemeClr val="bg1"/>
    </a:solidFill>
    <a:ln w="9525" cap="flat" cmpd="sng" algn="ctr">
      <a:solidFill>
        <a:schemeClr val="bg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75262734364241"/>
          <c:y val="6.921448136844513E-2"/>
          <c:w val="0.70865805223622969"/>
          <c:h val="0.64790340019277726"/>
        </c:manualLayout>
      </c:layout>
      <c:areaChart>
        <c:grouping val="standard"/>
        <c:varyColors val="0"/>
        <c:ser>
          <c:idx val="1"/>
          <c:order val="1"/>
          <c:tx>
            <c:v>u</c:v>
          </c:tx>
          <c:spPr>
            <a:solidFill>
              <a:schemeClr val="accent1">
                <a:lumMod val="60000"/>
                <a:lumOff val="40000"/>
              </a:schemeClr>
            </a:solidFill>
            <a:ln w="25400">
              <a:noFill/>
            </a:ln>
            <a:effectLst/>
          </c:spPr>
          <c:val>
            <c:numRef>
              <c:f>'Figure 2.4.'!$AE$15:$AE$23</c:f>
              <c:numCache>
                <c:formatCode>0.0</c:formatCode>
                <c:ptCount val="9"/>
                <c:pt idx="0">
                  <c:v>0</c:v>
                </c:pt>
                <c:pt idx="1">
                  <c:v>0.11107520389478388</c:v>
                </c:pt>
                <c:pt idx="2">
                  <c:v>0.12987829026830747</c:v>
                </c:pt>
                <c:pt idx="3">
                  <c:v>0.11591468083841192</c:v>
                </c:pt>
                <c:pt idx="4">
                  <c:v>0.12053665254588999</c:v>
                </c:pt>
                <c:pt idx="5">
                  <c:v>9.5622501794083228E-2</c:v>
                </c:pt>
                <c:pt idx="6">
                  <c:v>0.12807241566230684</c:v>
                </c:pt>
                <c:pt idx="7">
                  <c:v>0.2084584267682662</c:v>
                </c:pt>
                <c:pt idx="8">
                  <c:v>0.19657916716880361</c:v>
                </c:pt>
              </c:numCache>
            </c:numRef>
          </c:val>
          <c:extLst>
            <c:ext xmlns:c16="http://schemas.microsoft.com/office/drawing/2014/chart" uri="{C3380CC4-5D6E-409C-BE32-E72D297353CC}">
              <c16:uniqueId val="{00000000-4CC6-4FB1-B390-FE60411DFA6D}"/>
            </c:ext>
          </c:extLst>
        </c:ser>
        <c:ser>
          <c:idx val="2"/>
          <c:order val="2"/>
          <c:tx>
            <c:v>d</c:v>
          </c:tx>
          <c:spPr>
            <a:gradFill>
              <a:gsLst>
                <a:gs pos="25000">
                  <a:schemeClr val="bg1"/>
                </a:gs>
                <a:gs pos="27000">
                  <a:schemeClr val="accent1">
                    <a:lumMod val="60000"/>
                    <a:lumOff val="40000"/>
                  </a:schemeClr>
                </a:gs>
              </a:gsLst>
              <a:lin ang="5400000" scaled="1"/>
            </a:gradFill>
            <a:ln w="25400">
              <a:noFill/>
            </a:ln>
            <a:effectLst/>
          </c:spPr>
          <c:val>
            <c:numRef>
              <c:f>'Figure 2.4.'!$AF$15:$AF$23</c:f>
              <c:numCache>
                <c:formatCode>0.0</c:formatCode>
                <c:ptCount val="9"/>
                <c:pt idx="0">
                  <c:v>0</c:v>
                </c:pt>
                <c:pt idx="1">
                  <c:v>-4.881955516935528E-2</c:v>
                </c:pt>
                <c:pt idx="2">
                  <c:v>-0.18268012803497266</c:v>
                </c:pt>
                <c:pt idx="3">
                  <c:v>-0.22491809047557462</c:v>
                </c:pt>
                <c:pt idx="4">
                  <c:v>-0.18640301289632247</c:v>
                </c:pt>
                <c:pt idx="5">
                  <c:v>-8.4684267490628365E-2</c:v>
                </c:pt>
                <c:pt idx="6">
                  <c:v>4.6866315486611389E-2</c:v>
                </c:pt>
                <c:pt idx="7">
                  <c:v>7.1717958959601993E-2</c:v>
                </c:pt>
                <c:pt idx="8">
                  <c:v>5.1545170057182649E-2</c:v>
                </c:pt>
              </c:numCache>
            </c:numRef>
          </c:val>
          <c:extLst>
            <c:ext xmlns:c16="http://schemas.microsoft.com/office/drawing/2014/chart" uri="{C3380CC4-5D6E-409C-BE32-E72D297353CC}">
              <c16:uniqueId val="{00000001-4CC6-4FB1-B390-FE60411DFA6D}"/>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2.4.'!$AD$14</c:f>
              <c:strCache>
                <c:ptCount val="1"/>
                <c:pt idx="0">
                  <c:v>Base</c:v>
                </c:pt>
              </c:strCache>
            </c:strRef>
          </c:tx>
          <c:spPr>
            <a:ln w="28575" cap="rnd">
              <a:solidFill>
                <a:srgbClr val="0000CC"/>
              </a:solidFill>
              <a:round/>
            </a:ln>
            <a:effectLst/>
          </c:spPr>
          <c:marker>
            <c:symbol val="none"/>
          </c:marker>
          <c:cat>
            <c:numRef>
              <c:f>'Figure 2.4.'!$AC$15:$AC$23</c:f>
              <c:numCache>
                <c:formatCode>0</c:formatCode>
                <c:ptCount val="9"/>
                <c:pt idx="0">
                  <c:v>-1</c:v>
                </c:pt>
                <c:pt idx="1">
                  <c:v>0</c:v>
                </c:pt>
                <c:pt idx="2">
                  <c:v>1</c:v>
                </c:pt>
                <c:pt idx="3">
                  <c:v>2</c:v>
                </c:pt>
                <c:pt idx="4">
                  <c:v>3</c:v>
                </c:pt>
                <c:pt idx="5">
                  <c:v>4</c:v>
                </c:pt>
                <c:pt idx="6">
                  <c:v>5</c:v>
                </c:pt>
                <c:pt idx="7">
                  <c:v>6</c:v>
                </c:pt>
                <c:pt idx="8">
                  <c:v>7</c:v>
                </c:pt>
              </c:numCache>
            </c:numRef>
          </c:cat>
          <c:val>
            <c:numRef>
              <c:f>'Figure 2.4.'!$AD$15:$AD$23</c:f>
              <c:numCache>
                <c:formatCode>0.0</c:formatCode>
                <c:ptCount val="9"/>
                <c:pt idx="0">
                  <c:v>0</c:v>
                </c:pt>
                <c:pt idx="1">
                  <c:v>3.1127824362714305E-2</c:v>
                </c:pt>
                <c:pt idx="2">
                  <c:v>-2.6400918883332597E-2</c:v>
                </c:pt>
                <c:pt idx="3">
                  <c:v>-5.4501704818581354E-2</c:v>
                </c:pt>
                <c:pt idx="4">
                  <c:v>-3.2933180175216237E-2</c:v>
                </c:pt>
                <c:pt idx="5">
                  <c:v>5.4691171517274352E-3</c:v>
                </c:pt>
                <c:pt idx="6">
                  <c:v>8.7469365574459113E-2</c:v>
                </c:pt>
                <c:pt idx="7">
                  <c:v>0.14008819286393409</c:v>
                </c:pt>
                <c:pt idx="8">
                  <c:v>0.12406216861299313</c:v>
                </c:pt>
              </c:numCache>
            </c:numRef>
          </c:val>
          <c:smooth val="0"/>
          <c:extLst>
            <c:ext xmlns:c16="http://schemas.microsoft.com/office/drawing/2014/chart" uri="{C3380CC4-5D6E-409C-BE32-E72D297353CC}">
              <c16:uniqueId val="{00000002-4CC6-4FB1-B390-FE60411DFA6D}"/>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3964387813646191"/>
              <c:y val="0.8397003935707010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0.60000000000000009"/>
          <c:min val="-0.60000000000000009"/>
        </c:scaling>
        <c:delete val="0"/>
        <c:axPos val="l"/>
        <c:numFmt formatCode="0.0" sourceLinked="1"/>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09479716566578"/>
          <c:y val="6.9639038085361191E-2"/>
          <c:w val="0.70294912296125733"/>
          <c:h val="0.64574366463605593"/>
        </c:manualLayout>
      </c:layout>
      <c:areaChart>
        <c:grouping val="standard"/>
        <c:varyColors val="0"/>
        <c:ser>
          <c:idx val="1"/>
          <c:order val="1"/>
          <c:tx>
            <c:v>u</c:v>
          </c:tx>
          <c:spPr>
            <a:solidFill>
              <a:schemeClr val="accent1">
                <a:lumMod val="60000"/>
                <a:lumOff val="40000"/>
              </a:schemeClr>
            </a:solidFill>
            <a:ln w="25400">
              <a:noFill/>
            </a:ln>
            <a:effectLst/>
          </c:spPr>
          <c:val>
            <c:numRef>
              <c:f>'Figure 2.4.'!$Z$15:$Z$23</c:f>
              <c:numCache>
                <c:formatCode>0.0</c:formatCode>
                <c:ptCount val="9"/>
                <c:pt idx="0">
                  <c:v>0</c:v>
                </c:pt>
                <c:pt idx="1">
                  <c:v>3.8628217677460108E-2</c:v>
                </c:pt>
                <c:pt idx="2">
                  <c:v>3.969324466609786E-2</c:v>
                </c:pt>
                <c:pt idx="3">
                  <c:v>0.12686400257502675</c:v>
                </c:pt>
                <c:pt idx="4">
                  <c:v>4.090200490040008E-2</c:v>
                </c:pt>
                <c:pt idx="5">
                  <c:v>3.9587815319890834E-2</c:v>
                </c:pt>
                <c:pt idx="6">
                  <c:v>4.6553582929787271E-2</c:v>
                </c:pt>
                <c:pt idx="7">
                  <c:v>0.11316794745766028</c:v>
                </c:pt>
                <c:pt idx="8">
                  <c:v>9.9954427498424675E-2</c:v>
                </c:pt>
              </c:numCache>
            </c:numRef>
          </c:val>
          <c:extLst>
            <c:ext xmlns:c16="http://schemas.microsoft.com/office/drawing/2014/chart" uri="{C3380CC4-5D6E-409C-BE32-E72D297353CC}">
              <c16:uniqueId val="{00000000-7BDF-4097-A073-B82A5343B42D}"/>
            </c:ext>
          </c:extLst>
        </c:ser>
        <c:ser>
          <c:idx val="2"/>
          <c:order val="2"/>
          <c:tx>
            <c:v>d</c:v>
          </c:tx>
          <c:spPr>
            <a:gradFill>
              <a:gsLst>
                <a:gs pos="24000">
                  <a:schemeClr val="bg1"/>
                </a:gs>
                <a:gs pos="27000">
                  <a:schemeClr val="accent1">
                    <a:lumMod val="60000"/>
                    <a:lumOff val="40000"/>
                  </a:schemeClr>
                </a:gs>
              </a:gsLst>
              <a:lin ang="5400000" scaled="1"/>
            </a:gradFill>
            <a:ln w="25400">
              <a:noFill/>
            </a:ln>
            <a:effectLst/>
          </c:spPr>
          <c:val>
            <c:numRef>
              <c:f>'Figure 2.4.'!$AA$15:$AA$23</c:f>
              <c:numCache>
                <c:formatCode>0.0</c:formatCode>
                <c:ptCount val="9"/>
                <c:pt idx="0">
                  <c:v>0</c:v>
                </c:pt>
                <c:pt idx="1">
                  <c:v>-4.0426735498384381E-2</c:v>
                </c:pt>
                <c:pt idx="2">
                  <c:v>-1.1902780726795271E-2</c:v>
                </c:pt>
                <c:pt idx="3">
                  <c:v>-2.4425783348039409E-2</c:v>
                </c:pt>
                <c:pt idx="4">
                  <c:v>-3.1571900066146394E-2</c:v>
                </c:pt>
                <c:pt idx="5">
                  <c:v>-6.9350093058088313E-2</c:v>
                </c:pt>
                <c:pt idx="6">
                  <c:v>-1.9574678623232717E-2</c:v>
                </c:pt>
                <c:pt idx="7">
                  <c:v>6.2640240178579998E-3</c:v>
                </c:pt>
                <c:pt idx="8">
                  <c:v>1.7284189358752304E-2</c:v>
                </c:pt>
              </c:numCache>
            </c:numRef>
          </c:val>
          <c:extLst>
            <c:ext xmlns:c16="http://schemas.microsoft.com/office/drawing/2014/chart" uri="{C3380CC4-5D6E-409C-BE32-E72D297353CC}">
              <c16:uniqueId val="{00000001-7BDF-4097-A073-B82A5343B42D}"/>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2.4.'!$Y$14</c:f>
              <c:strCache>
                <c:ptCount val="1"/>
                <c:pt idx="0">
                  <c:v>Base</c:v>
                </c:pt>
              </c:strCache>
            </c:strRef>
          </c:tx>
          <c:spPr>
            <a:ln w="28575" cap="rnd">
              <a:solidFill>
                <a:srgbClr val="0000CC"/>
              </a:solidFill>
              <a:round/>
            </a:ln>
            <a:effectLst/>
          </c:spPr>
          <c:marker>
            <c:symbol val="none"/>
          </c:marker>
          <c:cat>
            <c:numRef>
              <c:f>'Figure 2.4.'!$X$15:$X$23</c:f>
              <c:numCache>
                <c:formatCode>0</c:formatCode>
                <c:ptCount val="9"/>
                <c:pt idx="0">
                  <c:v>-1</c:v>
                </c:pt>
                <c:pt idx="1">
                  <c:v>0</c:v>
                </c:pt>
                <c:pt idx="2">
                  <c:v>1</c:v>
                </c:pt>
                <c:pt idx="3">
                  <c:v>2</c:v>
                </c:pt>
                <c:pt idx="4">
                  <c:v>3</c:v>
                </c:pt>
                <c:pt idx="5">
                  <c:v>4</c:v>
                </c:pt>
                <c:pt idx="6">
                  <c:v>5</c:v>
                </c:pt>
                <c:pt idx="7">
                  <c:v>6</c:v>
                </c:pt>
                <c:pt idx="8">
                  <c:v>7</c:v>
                </c:pt>
              </c:numCache>
            </c:numRef>
          </c:cat>
          <c:val>
            <c:numRef>
              <c:f>'Figure 2.4.'!$Y$15:$Y$23</c:f>
              <c:numCache>
                <c:formatCode>0.0</c:formatCode>
                <c:ptCount val="9"/>
                <c:pt idx="0">
                  <c:v>0</c:v>
                </c:pt>
                <c:pt idx="1">
                  <c:v>-8.9925891046213917E-4</c:v>
                </c:pt>
                <c:pt idx="2">
                  <c:v>1.3895231969651294E-2</c:v>
                </c:pt>
                <c:pt idx="3">
                  <c:v>5.1219109613493671E-2</c:v>
                </c:pt>
                <c:pt idx="4">
                  <c:v>4.6650524171268411E-3</c:v>
                </c:pt>
                <c:pt idx="5">
                  <c:v>-1.4881138869098741E-2</c:v>
                </c:pt>
                <c:pt idx="6">
                  <c:v>1.3489452153277275E-2</c:v>
                </c:pt>
                <c:pt idx="7">
                  <c:v>5.9715985737759138E-2</c:v>
                </c:pt>
                <c:pt idx="8">
                  <c:v>5.8619308428588493E-2</c:v>
                </c:pt>
              </c:numCache>
            </c:numRef>
          </c:val>
          <c:smooth val="0"/>
          <c:extLst>
            <c:ext xmlns:c16="http://schemas.microsoft.com/office/drawing/2014/chart" uri="{C3380CC4-5D6E-409C-BE32-E72D297353CC}">
              <c16:uniqueId val="{00000002-7BDF-4097-A073-B82A5343B42D}"/>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2840109389469946"/>
              <c:y val="0.8397006960520331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0.60000000000000009"/>
          <c:min val="-0.60000000000000009"/>
        </c:scaling>
        <c:delete val="0"/>
        <c:axPos val="l"/>
        <c:numFmt formatCode="0.0" sourceLinked="1"/>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35153945594868"/>
          <c:y val="6.9076806121636622E-2"/>
          <c:w val="0.69183482891817349"/>
          <c:h val="0.64860375921187985"/>
        </c:manualLayout>
      </c:layout>
      <c:areaChart>
        <c:grouping val="standard"/>
        <c:varyColors val="0"/>
        <c:ser>
          <c:idx val="2"/>
          <c:order val="1"/>
          <c:tx>
            <c:v>d</c:v>
          </c:tx>
          <c:spPr>
            <a:solidFill>
              <a:schemeClr val="accent1">
                <a:lumMod val="60000"/>
                <a:lumOff val="40000"/>
              </a:schemeClr>
            </a:solidFill>
            <a:ln w="25400">
              <a:noFill/>
            </a:ln>
            <a:effectLst/>
          </c:spPr>
          <c:val>
            <c:numRef>
              <c:f>'Figure 2.4.'!$V$15:$V$23</c:f>
              <c:numCache>
                <c:formatCode>0.0</c:formatCode>
                <c:ptCount val="9"/>
                <c:pt idx="0">
                  <c:v>0</c:v>
                </c:pt>
                <c:pt idx="1">
                  <c:v>-0.89547560469292231</c:v>
                </c:pt>
                <c:pt idx="2">
                  <c:v>-1.1327315567584268</c:v>
                </c:pt>
                <c:pt idx="3">
                  <c:v>-0.76925228493904629</c:v>
                </c:pt>
                <c:pt idx="4">
                  <c:v>-0.99848473539632121</c:v>
                </c:pt>
                <c:pt idx="5">
                  <c:v>-0.85535058008025677</c:v>
                </c:pt>
                <c:pt idx="6">
                  <c:v>-0.36640896631067138</c:v>
                </c:pt>
                <c:pt idx="7">
                  <c:v>-0.34657567372062348</c:v>
                </c:pt>
                <c:pt idx="8">
                  <c:v>-0.40634479068808904</c:v>
                </c:pt>
              </c:numCache>
            </c:numRef>
          </c:val>
          <c:extLst>
            <c:ext xmlns:c16="http://schemas.microsoft.com/office/drawing/2014/chart" uri="{C3380CC4-5D6E-409C-BE32-E72D297353CC}">
              <c16:uniqueId val="{00000000-9460-4984-A9F9-52D41183BF7F}"/>
            </c:ext>
          </c:extLst>
        </c:ser>
        <c:ser>
          <c:idx val="1"/>
          <c:order val="2"/>
          <c:tx>
            <c:v>u</c:v>
          </c:tx>
          <c:spPr>
            <a:gradFill>
              <a:gsLst>
                <a:gs pos="77000">
                  <a:schemeClr val="bg1"/>
                </a:gs>
                <a:gs pos="76000">
                  <a:schemeClr val="accent1">
                    <a:lumMod val="60000"/>
                    <a:lumOff val="40000"/>
                  </a:schemeClr>
                </a:gs>
              </a:gsLst>
              <a:lin ang="5400000" scaled="1"/>
            </a:gradFill>
            <a:ln w="25400">
              <a:noFill/>
            </a:ln>
            <a:effectLst/>
          </c:spPr>
          <c:val>
            <c:numRef>
              <c:f>'Figure 2.4.'!$U$15:$U$23</c:f>
              <c:numCache>
                <c:formatCode>0.0</c:formatCode>
                <c:ptCount val="9"/>
                <c:pt idx="0">
                  <c:v>0</c:v>
                </c:pt>
                <c:pt idx="1">
                  <c:v>-0.16468308540837395</c:v>
                </c:pt>
                <c:pt idx="2">
                  <c:v>-8.7089939049694198E-2</c:v>
                </c:pt>
                <c:pt idx="3">
                  <c:v>0.23039512095393577</c:v>
                </c:pt>
                <c:pt idx="4">
                  <c:v>0.19063545079698796</c:v>
                </c:pt>
                <c:pt idx="5">
                  <c:v>5.6990422949835695E-2</c:v>
                </c:pt>
                <c:pt idx="6">
                  <c:v>0.48070510963403329</c:v>
                </c:pt>
                <c:pt idx="7">
                  <c:v>0.5586743993901846</c:v>
                </c:pt>
                <c:pt idx="8">
                  <c:v>0.10157915372458179</c:v>
                </c:pt>
              </c:numCache>
            </c:numRef>
          </c:val>
          <c:extLst>
            <c:ext xmlns:c16="http://schemas.microsoft.com/office/drawing/2014/chart" uri="{C3380CC4-5D6E-409C-BE32-E72D297353CC}">
              <c16:uniqueId val="{00000001-9460-4984-A9F9-52D41183BF7F}"/>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2.4.'!$T$14</c:f>
              <c:strCache>
                <c:ptCount val="1"/>
                <c:pt idx="0">
                  <c:v>Base</c:v>
                </c:pt>
              </c:strCache>
            </c:strRef>
          </c:tx>
          <c:spPr>
            <a:ln w="28575" cap="rnd">
              <a:solidFill>
                <a:srgbClr val="0000CC"/>
              </a:solidFill>
              <a:round/>
            </a:ln>
            <a:effectLst/>
          </c:spPr>
          <c:marker>
            <c:symbol val="none"/>
          </c:marker>
          <c:cat>
            <c:numRef>
              <c:f>'Figure 2.4.'!$S$15:$S$23</c:f>
              <c:numCache>
                <c:formatCode>0</c:formatCode>
                <c:ptCount val="9"/>
                <c:pt idx="0">
                  <c:v>-1</c:v>
                </c:pt>
                <c:pt idx="1">
                  <c:v>0</c:v>
                </c:pt>
                <c:pt idx="2">
                  <c:v>1</c:v>
                </c:pt>
                <c:pt idx="3">
                  <c:v>2</c:v>
                </c:pt>
                <c:pt idx="4">
                  <c:v>3</c:v>
                </c:pt>
                <c:pt idx="5">
                  <c:v>4</c:v>
                </c:pt>
                <c:pt idx="6">
                  <c:v>5</c:v>
                </c:pt>
                <c:pt idx="7">
                  <c:v>6</c:v>
                </c:pt>
                <c:pt idx="8">
                  <c:v>7</c:v>
                </c:pt>
              </c:numCache>
            </c:numRef>
          </c:cat>
          <c:val>
            <c:numRef>
              <c:f>'Figure 2.4.'!$T$15:$T$23</c:f>
              <c:numCache>
                <c:formatCode>0.0</c:formatCode>
                <c:ptCount val="9"/>
                <c:pt idx="0">
                  <c:v>0</c:v>
                </c:pt>
                <c:pt idx="1">
                  <c:v>-0.53007934505064813</c:v>
                </c:pt>
                <c:pt idx="2">
                  <c:v>-0.60991074790406052</c:v>
                </c:pt>
                <c:pt idx="3">
                  <c:v>-0.26942858199255526</c:v>
                </c:pt>
                <c:pt idx="4">
                  <c:v>-0.40392464229966663</c:v>
                </c:pt>
                <c:pt idx="5">
                  <c:v>-0.39918007856521054</c:v>
                </c:pt>
                <c:pt idx="6">
                  <c:v>5.7148071661680976E-2</c:v>
                </c:pt>
                <c:pt idx="7">
                  <c:v>0.10604936283478054</c:v>
                </c:pt>
                <c:pt idx="8">
                  <c:v>-0.15238281848175364</c:v>
                </c:pt>
              </c:numCache>
            </c:numRef>
          </c:val>
          <c:smooth val="0"/>
          <c:extLst>
            <c:ext xmlns:c16="http://schemas.microsoft.com/office/drawing/2014/chart" uri="{C3380CC4-5D6E-409C-BE32-E72D297353CC}">
              <c16:uniqueId val="{00000002-9460-4984-A9F9-52D41183BF7F}"/>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2752982569021449"/>
              <c:y val="0.8392855749102812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2"/>
          <c:min val="-1.2"/>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87407073976816"/>
          <c:y val="6.921448136844513E-2"/>
          <c:w val="0.69144819686580361"/>
          <c:h val="0.64790340019277726"/>
        </c:manualLayout>
      </c:layout>
      <c:areaChart>
        <c:grouping val="standard"/>
        <c:varyColors val="0"/>
        <c:ser>
          <c:idx val="1"/>
          <c:order val="1"/>
          <c:tx>
            <c:v>u</c:v>
          </c:tx>
          <c:spPr>
            <a:solidFill>
              <a:schemeClr val="accent1">
                <a:lumMod val="60000"/>
                <a:lumOff val="40000"/>
              </a:schemeClr>
            </a:solidFill>
            <a:ln w="25400">
              <a:noFill/>
            </a:ln>
            <a:effectLst/>
          </c:spPr>
          <c:val>
            <c:numRef>
              <c:f>'Figure 2.4.'!$AE$4:$AE$12</c:f>
              <c:numCache>
                <c:formatCode>0.0</c:formatCode>
                <c:ptCount val="9"/>
                <c:pt idx="0">
                  <c:v>0</c:v>
                </c:pt>
                <c:pt idx="1">
                  <c:v>0.2486342860518429</c:v>
                </c:pt>
                <c:pt idx="2">
                  <c:v>0.22495937542214656</c:v>
                </c:pt>
                <c:pt idx="3">
                  <c:v>0.2235739321181042</c:v>
                </c:pt>
                <c:pt idx="4">
                  <c:v>0.10316610353713181</c:v>
                </c:pt>
                <c:pt idx="5">
                  <c:v>0.16746883016293473</c:v>
                </c:pt>
                <c:pt idx="6">
                  <c:v>0.53383520813913088</c:v>
                </c:pt>
                <c:pt idx="7">
                  <c:v>0.54967899259357578</c:v>
                </c:pt>
                <c:pt idx="8">
                  <c:v>0.33330972669505204</c:v>
                </c:pt>
              </c:numCache>
            </c:numRef>
          </c:val>
          <c:extLst>
            <c:ext xmlns:c16="http://schemas.microsoft.com/office/drawing/2014/chart" uri="{C3380CC4-5D6E-409C-BE32-E72D297353CC}">
              <c16:uniqueId val="{00000000-1CCB-4E30-B3AB-93691386111D}"/>
            </c:ext>
          </c:extLst>
        </c:ser>
        <c:ser>
          <c:idx val="2"/>
          <c:order val="2"/>
          <c:tx>
            <c:v>d</c:v>
          </c:tx>
          <c:spPr>
            <a:solidFill>
              <a:schemeClr val="accent1">
                <a:lumMod val="60000"/>
                <a:lumOff val="40000"/>
              </a:schemeClr>
            </a:solidFill>
            <a:ln w="25400">
              <a:noFill/>
            </a:ln>
            <a:effectLst/>
          </c:spPr>
          <c:val>
            <c:numRef>
              <c:f>'Figure 2.4.'!$AF$4:$AF$12</c:f>
              <c:numCache>
                <c:formatCode>0.0</c:formatCode>
                <c:ptCount val="9"/>
                <c:pt idx="0">
                  <c:v>0</c:v>
                </c:pt>
                <c:pt idx="1">
                  <c:v>-0.4151072733578911</c:v>
                </c:pt>
                <c:pt idx="2">
                  <c:v>-0.1794737583111351</c:v>
                </c:pt>
                <c:pt idx="3">
                  <c:v>-0.27147138979719948</c:v>
                </c:pt>
                <c:pt idx="4">
                  <c:v>-0.1906470926777159</c:v>
                </c:pt>
                <c:pt idx="5">
                  <c:v>-0.54076960396571438</c:v>
                </c:pt>
                <c:pt idx="6">
                  <c:v>-0.36245345547967689</c:v>
                </c:pt>
                <c:pt idx="7">
                  <c:v>-0.25530341699628645</c:v>
                </c:pt>
                <c:pt idx="8">
                  <c:v>-0.17481705022960276</c:v>
                </c:pt>
              </c:numCache>
            </c:numRef>
          </c:val>
          <c:extLst>
            <c:ext xmlns:c16="http://schemas.microsoft.com/office/drawing/2014/chart" uri="{C3380CC4-5D6E-409C-BE32-E72D297353CC}">
              <c16:uniqueId val="{00000001-1CCB-4E30-B3AB-93691386111D}"/>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2.4.'!$AD$3</c:f>
              <c:strCache>
                <c:ptCount val="1"/>
                <c:pt idx="0">
                  <c:v>Base</c:v>
                </c:pt>
              </c:strCache>
            </c:strRef>
          </c:tx>
          <c:spPr>
            <a:ln w="28575" cap="rnd">
              <a:solidFill>
                <a:srgbClr val="0000CC"/>
              </a:solidFill>
              <a:round/>
            </a:ln>
            <a:effectLst/>
          </c:spPr>
          <c:marker>
            <c:symbol val="none"/>
          </c:marker>
          <c:cat>
            <c:numRef>
              <c:f>'Figure 2.4.'!$AC$4:$AC$12</c:f>
              <c:numCache>
                <c:formatCode>0</c:formatCode>
                <c:ptCount val="9"/>
                <c:pt idx="0">
                  <c:v>-1</c:v>
                </c:pt>
                <c:pt idx="1">
                  <c:v>0</c:v>
                </c:pt>
                <c:pt idx="2">
                  <c:v>1</c:v>
                </c:pt>
                <c:pt idx="3">
                  <c:v>2</c:v>
                </c:pt>
                <c:pt idx="4">
                  <c:v>3</c:v>
                </c:pt>
                <c:pt idx="5">
                  <c:v>4</c:v>
                </c:pt>
                <c:pt idx="6">
                  <c:v>5</c:v>
                </c:pt>
                <c:pt idx="7">
                  <c:v>6</c:v>
                </c:pt>
                <c:pt idx="8">
                  <c:v>7</c:v>
                </c:pt>
              </c:numCache>
            </c:numRef>
          </c:cat>
          <c:val>
            <c:numRef>
              <c:f>'Figure 2.4.'!$AD$4:$AD$12</c:f>
              <c:numCache>
                <c:formatCode>0.0</c:formatCode>
                <c:ptCount val="9"/>
                <c:pt idx="0">
                  <c:v>0</c:v>
                </c:pt>
                <c:pt idx="1">
                  <c:v>-8.3236493653024116E-2</c:v>
                </c:pt>
                <c:pt idx="2">
                  <c:v>2.2742808555505714E-2</c:v>
                </c:pt>
                <c:pt idx="3">
                  <c:v>-2.3948728839547639E-2</c:v>
                </c:pt>
                <c:pt idx="4">
                  <c:v>-4.3740494570292041E-2</c:v>
                </c:pt>
                <c:pt idx="5">
                  <c:v>-0.18665038690138985</c:v>
                </c:pt>
                <c:pt idx="6">
                  <c:v>8.5690876329726967E-2</c:v>
                </c:pt>
                <c:pt idx="7">
                  <c:v>0.14718778779864464</c:v>
                </c:pt>
                <c:pt idx="8">
                  <c:v>7.9246338232724645E-2</c:v>
                </c:pt>
              </c:numCache>
            </c:numRef>
          </c:val>
          <c:smooth val="0"/>
          <c:extLst>
            <c:ext xmlns:c16="http://schemas.microsoft.com/office/drawing/2014/chart" uri="{C3380CC4-5D6E-409C-BE32-E72D297353CC}">
              <c16:uniqueId val="{00000002-1CCB-4E30-B3AB-93691386111D}"/>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2633607582323421"/>
              <c:y val="0.8402583919713922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2"/>
          <c:min val="-1.2"/>
        </c:scaling>
        <c:delete val="0"/>
        <c:axPos val="l"/>
        <c:numFmt formatCode="0.0" sourceLinked="1"/>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36082165436341"/>
          <c:y val="6.9247976814841877E-2"/>
          <c:w val="0.68904985792550844"/>
          <c:h val="0.64773300763110309"/>
        </c:manualLayout>
      </c:layout>
      <c:areaChart>
        <c:grouping val="standard"/>
        <c:varyColors val="0"/>
        <c:ser>
          <c:idx val="1"/>
          <c:order val="1"/>
          <c:tx>
            <c:v>u</c:v>
          </c:tx>
          <c:spPr>
            <a:solidFill>
              <a:schemeClr val="accent1">
                <a:lumMod val="60000"/>
                <a:lumOff val="40000"/>
              </a:schemeClr>
            </a:solidFill>
            <a:ln w="25400">
              <a:noFill/>
            </a:ln>
            <a:effectLst/>
          </c:spPr>
          <c:val>
            <c:numRef>
              <c:f>'Figure 2.4.'!$Z$4:$Z$12</c:f>
              <c:numCache>
                <c:formatCode>0.0</c:formatCode>
                <c:ptCount val="9"/>
                <c:pt idx="0">
                  <c:v>0</c:v>
                </c:pt>
                <c:pt idx="1">
                  <c:v>0.73747802013420416</c:v>
                </c:pt>
                <c:pt idx="2">
                  <c:v>0.78871704992354585</c:v>
                </c:pt>
                <c:pt idx="3">
                  <c:v>0.60022538266762637</c:v>
                </c:pt>
                <c:pt idx="4">
                  <c:v>0.34460040100705613</c:v>
                </c:pt>
                <c:pt idx="5">
                  <c:v>0.48190849261547342</c:v>
                </c:pt>
                <c:pt idx="6">
                  <c:v>0.36678634683921263</c:v>
                </c:pt>
                <c:pt idx="7">
                  <c:v>0.36528697518405756</c:v>
                </c:pt>
                <c:pt idx="8">
                  <c:v>0.37142686582181567</c:v>
                </c:pt>
              </c:numCache>
            </c:numRef>
          </c:val>
          <c:extLst>
            <c:ext xmlns:c16="http://schemas.microsoft.com/office/drawing/2014/chart" uri="{C3380CC4-5D6E-409C-BE32-E72D297353CC}">
              <c16:uniqueId val="{00000000-15D3-43BB-8A65-177F2C589668}"/>
            </c:ext>
          </c:extLst>
        </c:ser>
        <c:ser>
          <c:idx val="2"/>
          <c:order val="2"/>
          <c:tx>
            <c:v>d</c:v>
          </c:tx>
          <c:spPr>
            <a:gradFill>
              <a:gsLst>
                <a:gs pos="5000">
                  <a:schemeClr val="bg1"/>
                </a:gs>
                <a:gs pos="5000">
                  <a:schemeClr val="accent1">
                    <a:lumMod val="60000"/>
                    <a:lumOff val="40000"/>
                  </a:schemeClr>
                </a:gs>
              </a:gsLst>
              <a:lin ang="5400000" scaled="1"/>
            </a:gradFill>
            <a:ln w="25400">
              <a:noFill/>
            </a:ln>
            <a:effectLst/>
          </c:spPr>
          <c:val>
            <c:numRef>
              <c:f>'Figure 2.4.'!$AA$4:$AA$12</c:f>
              <c:numCache>
                <c:formatCode>0.0</c:formatCode>
                <c:ptCount val="9"/>
                <c:pt idx="0">
                  <c:v>0</c:v>
                </c:pt>
                <c:pt idx="1">
                  <c:v>1.4550586832521251E-2</c:v>
                </c:pt>
                <c:pt idx="2">
                  <c:v>4.0765495374492366E-3</c:v>
                </c:pt>
                <c:pt idx="3">
                  <c:v>-0.42616655715045376</c:v>
                </c:pt>
                <c:pt idx="4">
                  <c:v>-0.1720521015199169</c:v>
                </c:pt>
                <c:pt idx="5">
                  <c:v>-0.5405701469700056</c:v>
                </c:pt>
                <c:pt idx="6">
                  <c:v>-0.44328062590308925</c:v>
                </c:pt>
                <c:pt idx="7">
                  <c:v>-0.37283122329906976</c:v>
                </c:pt>
                <c:pt idx="8">
                  <c:v>-7.5938346280621682E-2</c:v>
                </c:pt>
              </c:numCache>
            </c:numRef>
          </c:val>
          <c:extLst>
            <c:ext xmlns:c16="http://schemas.microsoft.com/office/drawing/2014/chart" uri="{C3380CC4-5D6E-409C-BE32-E72D297353CC}">
              <c16:uniqueId val="{00000001-15D3-43BB-8A65-177F2C589668}"/>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2.4.'!$Y$3</c:f>
              <c:strCache>
                <c:ptCount val="1"/>
                <c:pt idx="0">
                  <c:v>Base</c:v>
                </c:pt>
              </c:strCache>
            </c:strRef>
          </c:tx>
          <c:spPr>
            <a:ln w="28575" cap="rnd">
              <a:solidFill>
                <a:srgbClr val="0000CC"/>
              </a:solidFill>
              <a:round/>
            </a:ln>
            <a:effectLst/>
          </c:spPr>
          <c:marker>
            <c:symbol val="none"/>
          </c:marker>
          <c:cat>
            <c:numRef>
              <c:f>'Figure 2.4.'!$X$4:$X$12</c:f>
              <c:numCache>
                <c:formatCode>0</c:formatCode>
                <c:ptCount val="9"/>
                <c:pt idx="0">
                  <c:v>-1</c:v>
                </c:pt>
                <c:pt idx="1">
                  <c:v>0</c:v>
                </c:pt>
                <c:pt idx="2">
                  <c:v>1</c:v>
                </c:pt>
                <c:pt idx="3">
                  <c:v>2</c:v>
                </c:pt>
                <c:pt idx="4">
                  <c:v>3</c:v>
                </c:pt>
                <c:pt idx="5">
                  <c:v>4</c:v>
                </c:pt>
                <c:pt idx="6">
                  <c:v>5</c:v>
                </c:pt>
                <c:pt idx="7">
                  <c:v>6</c:v>
                </c:pt>
                <c:pt idx="8">
                  <c:v>7</c:v>
                </c:pt>
              </c:numCache>
            </c:numRef>
          </c:cat>
          <c:val>
            <c:numRef>
              <c:f>'Figure 2.4.'!$Y$4:$Y$12</c:f>
              <c:numCache>
                <c:formatCode>0.0</c:formatCode>
                <c:ptCount val="9"/>
                <c:pt idx="0">
                  <c:v>0</c:v>
                </c:pt>
                <c:pt idx="1">
                  <c:v>0.37601430348336273</c:v>
                </c:pt>
                <c:pt idx="2">
                  <c:v>0.39639679973049752</c:v>
                </c:pt>
                <c:pt idx="3">
                  <c:v>8.7029412758586291E-2</c:v>
                </c:pt>
                <c:pt idx="4">
                  <c:v>8.6274149743569603E-2</c:v>
                </c:pt>
                <c:pt idx="5">
                  <c:v>-2.9330827177266067E-2</c:v>
                </c:pt>
                <c:pt idx="6">
                  <c:v>-3.8247139531938291E-2</c:v>
                </c:pt>
                <c:pt idx="7">
                  <c:v>-3.7721240575060914E-3</c:v>
                </c:pt>
                <c:pt idx="8">
                  <c:v>0.14774425977059699</c:v>
                </c:pt>
              </c:numCache>
            </c:numRef>
          </c:val>
          <c:smooth val="0"/>
          <c:extLst>
            <c:ext xmlns:c16="http://schemas.microsoft.com/office/drawing/2014/chart" uri="{C3380CC4-5D6E-409C-BE32-E72D297353CC}">
              <c16:uniqueId val="{00000002-15D3-43BB-8A65-177F2C589668}"/>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2877815937416821"/>
              <c:y val="0.8402585483142797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2"/>
          <c:min val="-1.2"/>
        </c:scaling>
        <c:delete val="0"/>
        <c:axPos val="l"/>
        <c:numFmt formatCode="0.0" sourceLinked="1"/>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2313941886491"/>
          <c:y val="6.9491703089684831E-2"/>
          <c:w val="0.68424257589354864"/>
          <c:h val="0.64649316315117311"/>
        </c:manualLayout>
      </c:layout>
      <c:areaChart>
        <c:grouping val="standard"/>
        <c:varyColors val="0"/>
        <c:ser>
          <c:idx val="1"/>
          <c:order val="1"/>
          <c:tx>
            <c:v>u</c:v>
          </c:tx>
          <c:spPr>
            <a:solidFill>
              <a:schemeClr val="accent1">
                <a:lumMod val="60000"/>
                <a:lumOff val="40000"/>
              </a:schemeClr>
            </a:solidFill>
            <a:ln w="25400">
              <a:noFill/>
            </a:ln>
            <a:effectLst/>
          </c:spPr>
          <c:val>
            <c:numRef>
              <c:f>'Figure 2.4.'!$U$4:$U$12</c:f>
              <c:numCache>
                <c:formatCode>0.0</c:formatCode>
                <c:ptCount val="9"/>
                <c:pt idx="0">
                  <c:v>0</c:v>
                </c:pt>
                <c:pt idx="1">
                  <c:v>0.98087995350842339</c:v>
                </c:pt>
                <c:pt idx="2">
                  <c:v>0.76596006577767473</c:v>
                </c:pt>
                <c:pt idx="3">
                  <c:v>0.47597666212474921</c:v>
                </c:pt>
                <c:pt idx="4">
                  <c:v>0.15404279921287531</c:v>
                </c:pt>
                <c:pt idx="5">
                  <c:v>9.9117187525984571E-2</c:v>
                </c:pt>
                <c:pt idx="6">
                  <c:v>0.11309664096931341</c:v>
                </c:pt>
                <c:pt idx="7">
                  <c:v>0.22655686740013609</c:v>
                </c:pt>
                <c:pt idx="8">
                  <c:v>0.23247615164101199</c:v>
                </c:pt>
              </c:numCache>
            </c:numRef>
          </c:val>
          <c:extLst>
            <c:ext xmlns:c16="http://schemas.microsoft.com/office/drawing/2014/chart" uri="{C3380CC4-5D6E-409C-BE32-E72D297353CC}">
              <c16:uniqueId val="{00000000-FBDF-4B8B-A7E5-F59028A36B1E}"/>
            </c:ext>
          </c:extLst>
        </c:ser>
        <c:ser>
          <c:idx val="2"/>
          <c:order val="2"/>
          <c:tx>
            <c:v>d</c:v>
          </c:tx>
          <c:spPr>
            <a:gradFill>
              <a:gsLst>
                <a:gs pos="63000">
                  <a:schemeClr val="bg1"/>
                </a:gs>
                <a:gs pos="65000">
                  <a:schemeClr val="accent1">
                    <a:lumMod val="60000"/>
                    <a:lumOff val="40000"/>
                  </a:schemeClr>
                </a:gs>
              </a:gsLst>
              <a:lin ang="5400000" scaled="1"/>
            </a:gradFill>
            <a:ln w="25400">
              <a:noFill/>
            </a:ln>
            <a:effectLst/>
          </c:spPr>
          <c:val>
            <c:numRef>
              <c:f>'Figure 2.4.'!$V$4:$V$12</c:f>
              <c:numCache>
                <c:formatCode>0.0</c:formatCode>
                <c:ptCount val="9"/>
                <c:pt idx="0">
                  <c:v>0</c:v>
                </c:pt>
                <c:pt idx="1">
                  <c:v>0.5055841687993472</c:v>
                </c:pt>
                <c:pt idx="2">
                  <c:v>0.18343231295543438</c:v>
                </c:pt>
                <c:pt idx="3">
                  <c:v>-2.4978393843526903E-3</c:v>
                </c:pt>
                <c:pt idx="4">
                  <c:v>-0.12590486649427937</c:v>
                </c:pt>
                <c:pt idx="5">
                  <c:v>-0.29968251418128916</c:v>
                </c:pt>
                <c:pt idx="6">
                  <c:v>-0.2202201097232229</c:v>
                </c:pt>
                <c:pt idx="7">
                  <c:v>-0.14090992090477295</c:v>
                </c:pt>
                <c:pt idx="8">
                  <c:v>-9.9463062845183081E-2</c:v>
                </c:pt>
              </c:numCache>
            </c:numRef>
          </c:val>
          <c:extLst>
            <c:ext xmlns:c16="http://schemas.microsoft.com/office/drawing/2014/chart" uri="{C3380CC4-5D6E-409C-BE32-E72D297353CC}">
              <c16:uniqueId val="{00000001-FBDF-4B8B-A7E5-F59028A36B1E}"/>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2.4.'!$T$3</c:f>
              <c:strCache>
                <c:ptCount val="1"/>
                <c:pt idx="0">
                  <c:v>Base</c:v>
                </c:pt>
              </c:strCache>
            </c:strRef>
          </c:tx>
          <c:spPr>
            <a:ln w="28575" cap="rnd">
              <a:solidFill>
                <a:srgbClr val="0000CC"/>
              </a:solidFill>
              <a:round/>
            </a:ln>
            <a:effectLst/>
          </c:spPr>
          <c:marker>
            <c:symbol val="none"/>
          </c:marker>
          <c:cat>
            <c:numRef>
              <c:f>'Figure 2.4.'!$S$4:$S$12</c:f>
              <c:numCache>
                <c:formatCode>0</c:formatCode>
                <c:ptCount val="9"/>
                <c:pt idx="0">
                  <c:v>-1</c:v>
                </c:pt>
                <c:pt idx="1">
                  <c:v>0</c:v>
                </c:pt>
                <c:pt idx="2">
                  <c:v>1</c:v>
                </c:pt>
                <c:pt idx="3">
                  <c:v>2</c:v>
                </c:pt>
                <c:pt idx="4">
                  <c:v>3</c:v>
                </c:pt>
                <c:pt idx="5">
                  <c:v>4</c:v>
                </c:pt>
                <c:pt idx="6">
                  <c:v>5</c:v>
                </c:pt>
                <c:pt idx="7">
                  <c:v>6</c:v>
                </c:pt>
                <c:pt idx="8">
                  <c:v>7</c:v>
                </c:pt>
              </c:numCache>
            </c:numRef>
          </c:cat>
          <c:val>
            <c:numRef>
              <c:f>'Figure 2.4.'!$T$4:$T$12</c:f>
              <c:numCache>
                <c:formatCode>0.0</c:formatCode>
                <c:ptCount val="9"/>
                <c:pt idx="0">
                  <c:v>0</c:v>
                </c:pt>
                <c:pt idx="1">
                  <c:v>0.74323206115388529</c:v>
                </c:pt>
                <c:pt idx="2">
                  <c:v>0.47469618936655456</c:v>
                </c:pt>
                <c:pt idx="3">
                  <c:v>0.23673941137019824</c:v>
                </c:pt>
                <c:pt idx="4">
                  <c:v>1.4068966359297956E-2</c:v>
                </c:pt>
                <c:pt idx="5">
                  <c:v>-0.1002826633276523</c:v>
                </c:pt>
                <c:pt idx="6">
                  <c:v>-5.3561734376954738E-2</c:v>
                </c:pt>
                <c:pt idx="7">
                  <c:v>4.2823473247681577E-2</c:v>
                </c:pt>
                <c:pt idx="8">
                  <c:v>6.6506544397914452E-2</c:v>
                </c:pt>
              </c:numCache>
            </c:numRef>
          </c:val>
          <c:smooth val="0"/>
          <c:extLst>
            <c:ext xmlns:c16="http://schemas.microsoft.com/office/drawing/2014/chart" uri="{C3380CC4-5D6E-409C-BE32-E72D297353CC}">
              <c16:uniqueId val="{00000002-FBDF-4B8B-A7E5-F59028A36B1E}"/>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600">
                    <a:latin typeface="Arial" panose="020B0604020202020204" pitchFamily="34" charset="0"/>
                    <a:cs typeface="Arial" panose="020B0604020202020204" pitchFamily="34" charset="0"/>
                  </a:rPr>
                  <a:t>Quarter after</a:t>
                </a:r>
                <a:r>
                  <a:rPr lang="en-US" sz="1600" baseline="0">
                    <a:latin typeface="Arial" panose="020B0604020202020204" pitchFamily="34" charset="0"/>
                    <a:cs typeface="Arial" panose="020B0604020202020204" pitchFamily="34" charset="0"/>
                  </a:rPr>
                  <a:t> shock</a:t>
                </a:r>
                <a:endParaRPr lang="en-US" sz="1600">
                  <a:latin typeface="Arial" panose="020B0604020202020204" pitchFamily="34" charset="0"/>
                  <a:cs typeface="Arial" panose="020B0604020202020204" pitchFamily="34" charset="0"/>
                </a:endParaRPr>
              </a:p>
            </c:rich>
          </c:tx>
          <c:layout>
            <c:manualLayout>
              <c:xMode val="edge"/>
              <c:yMode val="edge"/>
              <c:x val="0.32523051683558379"/>
              <c:y val="0.8397006383205092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2"/>
          <c:min val="-1.2"/>
        </c:scaling>
        <c:delete val="0"/>
        <c:axPos val="l"/>
        <c:numFmt formatCode="0.0" sourceLinked="1"/>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57230769797778E-2"/>
          <c:y val="4.0392690401664919E-2"/>
          <c:w val="0.89236129137703946"/>
          <c:h val="0.8645081148500996"/>
        </c:manualLayout>
      </c:layout>
      <c:barChart>
        <c:barDir val="col"/>
        <c:grouping val="stacked"/>
        <c:varyColors val="0"/>
        <c:ser>
          <c:idx val="0"/>
          <c:order val="0"/>
          <c:tx>
            <c:strRef>
              <c:f>'Figure 2.5.'!$Z$6</c:f>
              <c:strCache>
                <c:ptCount val="1"/>
                <c:pt idx="0">
                  <c:v>Food and nonalcoholic beverages</c:v>
                </c:pt>
              </c:strCache>
            </c:strRef>
          </c:tx>
          <c:spPr>
            <a:solidFill>
              <a:schemeClr val="accent1"/>
            </a:solidFill>
            <a:ln>
              <a:noFill/>
            </a:ln>
            <a:effectLst/>
          </c:spPr>
          <c:invertIfNegative val="0"/>
          <c:cat>
            <c:strRef>
              <c:f>'Figure 2.5.'!$Y$7:$Y$11</c:f>
              <c:strCache>
                <c:ptCount val="5"/>
                <c:pt idx="0">
                  <c:v>Poorest</c:v>
                </c:pt>
                <c:pt idx="1">
                  <c:v>2</c:v>
                </c:pt>
                <c:pt idx="2">
                  <c:v>3</c:v>
                </c:pt>
                <c:pt idx="3">
                  <c:v>4</c:v>
                </c:pt>
                <c:pt idx="4">
                  <c:v>Richest</c:v>
                </c:pt>
              </c:strCache>
            </c:strRef>
          </c:cat>
          <c:val>
            <c:numRef>
              <c:f>'Figure 2.5.'!$Z$7:$Z$11</c:f>
              <c:numCache>
                <c:formatCode>0</c:formatCode>
                <c:ptCount val="5"/>
                <c:pt idx="0">
                  <c:v>5.8290709195920503</c:v>
                </c:pt>
                <c:pt idx="1">
                  <c:v>5.3015404679069897</c:v>
                </c:pt>
                <c:pt idx="2">
                  <c:v>4.52319294926094</c:v>
                </c:pt>
                <c:pt idx="3">
                  <c:v>3.69762694173422</c:v>
                </c:pt>
                <c:pt idx="4">
                  <c:v>2.0164580836572297</c:v>
                </c:pt>
              </c:numCache>
            </c:numRef>
          </c:val>
          <c:extLst>
            <c:ext xmlns:c16="http://schemas.microsoft.com/office/drawing/2014/chart" uri="{C3380CC4-5D6E-409C-BE32-E72D297353CC}">
              <c16:uniqueId val="{00000000-3AC0-4950-8E9C-53E1606A08E5}"/>
            </c:ext>
          </c:extLst>
        </c:ser>
        <c:ser>
          <c:idx val="1"/>
          <c:order val="1"/>
          <c:tx>
            <c:strRef>
              <c:f>'Figure 2.5.'!$AA$6</c:f>
              <c:strCache>
                <c:ptCount val="1"/>
                <c:pt idx="0">
                  <c:v>Housing, water, electricity, gas and other fuels</c:v>
                </c:pt>
              </c:strCache>
            </c:strRef>
          </c:tx>
          <c:spPr>
            <a:solidFill>
              <a:schemeClr val="accent2"/>
            </a:solidFill>
            <a:ln>
              <a:noFill/>
            </a:ln>
            <a:effectLst/>
          </c:spPr>
          <c:invertIfNegative val="0"/>
          <c:cat>
            <c:strRef>
              <c:f>'Figure 2.5.'!$Y$7:$Y$11</c:f>
              <c:strCache>
                <c:ptCount val="5"/>
                <c:pt idx="0">
                  <c:v>Poorest</c:v>
                </c:pt>
                <c:pt idx="1">
                  <c:v>2</c:v>
                </c:pt>
                <c:pt idx="2">
                  <c:v>3</c:v>
                </c:pt>
                <c:pt idx="3">
                  <c:v>4</c:v>
                </c:pt>
                <c:pt idx="4">
                  <c:v>Richest</c:v>
                </c:pt>
              </c:strCache>
            </c:strRef>
          </c:cat>
          <c:val>
            <c:numRef>
              <c:f>'Figure 2.5.'!$AA$7:$AA$11</c:f>
              <c:numCache>
                <c:formatCode>0</c:formatCode>
                <c:ptCount val="5"/>
                <c:pt idx="0">
                  <c:v>1.77364102597495</c:v>
                </c:pt>
                <c:pt idx="1">
                  <c:v>1.7311665949830302</c:v>
                </c:pt>
                <c:pt idx="2">
                  <c:v>1.7363059340099301</c:v>
                </c:pt>
                <c:pt idx="3">
                  <c:v>1.75015735473273</c:v>
                </c:pt>
                <c:pt idx="4">
                  <c:v>1.73162999803231</c:v>
                </c:pt>
              </c:numCache>
            </c:numRef>
          </c:val>
          <c:extLst>
            <c:ext xmlns:c16="http://schemas.microsoft.com/office/drawing/2014/chart" uri="{C3380CC4-5D6E-409C-BE32-E72D297353CC}">
              <c16:uniqueId val="{00000001-3AC0-4950-8E9C-53E1606A08E5}"/>
            </c:ext>
          </c:extLst>
        </c:ser>
        <c:ser>
          <c:idx val="2"/>
          <c:order val="2"/>
          <c:tx>
            <c:strRef>
              <c:f>'Figure 2.5.'!$AB$6</c:f>
              <c:strCache>
                <c:ptCount val="1"/>
                <c:pt idx="0">
                  <c:v>Transport</c:v>
                </c:pt>
              </c:strCache>
            </c:strRef>
          </c:tx>
          <c:spPr>
            <a:solidFill>
              <a:schemeClr val="accent3"/>
            </a:solidFill>
            <a:ln>
              <a:noFill/>
            </a:ln>
            <a:effectLst/>
          </c:spPr>
          <c:invertIfNegative val="0"/>
          <c:cat>
            <c:strRef>
              <c:f>'Figure 2.5.'!$Y$7:$Y$11</c:f>
              <c:strCache>
                <c:ptCount val="5"/>
                <c:pt idx="0">
                  <c:v>Poorest</c:v>
                </c:pt>
                <c:pt idx="1">
                  <c:v>2</c:v>
                </c:pt>
                <c:pt idx="2">
                  <c:v>3</c:v>
                </c:pt>
                <c:pt idx="3">
                  <c:v>4</c:v>
                </c:pt>
                <c:pt idx="4">
                  <c:v>Richest</c:v>
                </c:pt>
              </c:strCache>
            </c:strRef>
          </c:cat>
          <c:val>
            <c:numRef>
              <c:f>'Figure 2.5.'!$AB$7:$AB$11</c:f>
              <c:numCache>
                <c:formatCode>0</c:formatCode>
                <c:ptCount val="5"/>
                <c:pt idx="0">
                  <c:v>0.68224530620200796</c:v>
                </c:pt>
                <c:pt idx="1">
                  <c:v>0.74445641836727605</c:v>
                </c:pt>
                <c:pt idx="2">
                  <c:v>0.87069034161276793</c:v>
                </c:pt>
                <c:pt idx="3">
                  <c:v>0.873305445360961</c:v>
                </c:pt>
                <c:pt idx="4">
                  <c:v>0.89190942402177809</c:v>
                </c:pt>
              </c:numCache>
            </c:numRef>
          </c:val>
          <c:extLst>
            <c:ext xmlns:c16="http://schemas.microsoft.com/office/drawing/2014/chart" uri="{C3380CC4-5D6E-409C-BE32-E72D297353CC}">
              <c16:uniqueId val="{00000002-3AC0-4950-8E9C-53E1606A08E5}"/>
            </c:ext>
          </c:extLst>
        </c:ser>
        <c:ser>
          <c:idx val="3"/>
          <c:order val="3"/>
          <c:tx>
            <c:strRef>
              <c:f>'Figure 2.5.'!$AC$6</c:f>
              <c:strCache>
                <c:ptCount val="1"/>
                <c:pt idx="0">
                  <c:v>Other consumption categories </c:v>
                </c:pt>
              </c:strCache>
            </c:strRef>
          </c:tx>
          <c:spPr>
            <a:solidFill>
              <a:srgbClr val="00B050"/>
            </a:solidFill>
            <a:ln>
              <a:noFill/>
            </a:ln>
            <a:effectLst/>
          </c:spPr>
          <c:invertIfNegative val="0"/>
          <c:cat>
            <c:strRef>
              <c:f>'Figure 2.5.'!$Y$7:$Y$11</c:f>
              <c:strCache>
                <c:ptCount val="5"/>
                <c:pt idx="0">
                  <c:v>Poorest</c:v>
                </c:pt>
                <c:pt idx="1">
                  <c:v>2</c:v>
                </c:pt>
                <c:pt idx="2">
                  <c:v>3</c:v>
                </c:pt>
                <c:pt idx="3">
                  <c:v>4</c:v>
                </c:pt>
                <c:pt idx="4">
                  <c:v>Richest</c:v>
                </c:pt>
              </c:strCache>
            </c:strRef>
          </c:cat>
          <c:val>
            <c:numRef>
              <c:f>'Figure 2.5.'!$AC$7:$AC$11</c:f>
              <c:numCache>
                <c:formatCode>0</c:formatCode>
                <c:ptCount val="5"/>
                <c:pt idx="0">
                  <c:v>2.2838297720820901</c:v>
                </c:pt>
                <c:pt idx="1">
                  <c:v>2.3525690865641198</c:v>
                </c:pt>
                <c:pt idx="2">
                  <c:v>2.5610921409358998</c:v>
                </c:pt>
                <c:pt idx="3">
                  <c:v>2.75493589705549</c:v>
                </c:pt>
                <c:pt idx="4">
                  <c:v>3.2579257312010501</c:v>
                </c:pt>
              </c:numCache>
            </c:numRef>
          </c:val>
          <c:extLst>
            <c:ext xmlns:c16="http://schemas.microsoft.com/office/drawing/2014/chart" uri="{C3380CC4-5D6E-409C-BE32-E72D297353CC}">
              <c16:uniqueId val="{00000003-3AC0-4950-8E9C-53E1606A08E5}"/>
            </c:ext>
          </c:extLst>
        </c:ser>
        <c:dLbls>
          <c:showLegendKey val="0"/>
          <c:showVal val="0"/>
          <c:showCatName val="0"/>
          <c:showSerName val="0"/>
          <c:showPercent val="0"/>
          <c:showBubbleSize val="0"/>
        </c:dLbls>
        <c:gapWidth val="62"/>
        <c:overlap val="100"/>
        <c:axId val="836960687"/>
        <c:axId val="836957775"/>
      </c:barChart>
      <c:lineChart>
        <c:grouping val="standard"/>
        <c:varyColors val="0"/>
        <c:ser>
          <c:idx val="4"/>
          <c:order val="4"/>
          <c:tx>
            <c:strRef>
              <c:f>'Figure 2.5.'!$AE$6</c:f>
              <c:strCache>
                <c:ptCount val="1"/>
                <c:pt idx="0">
                  <c:v>Annual inflation </c:v>
                </c:pt>
              </c:strCache>
            </c:strRef>
          </c:tx>
          <c:spPr>
            <a:ln w="28575" cap="rnd">
              <a:solidFill>
                <a:srgbClr val="FF0000"/>
              </a:solidFill>
              <a:prstDash val="dash"/>
              <a:round/>
            </a:ln>
            <a:effectLst/>
          </c:spPr>
          <c:marker>
            <c:symbol val="none"/>
          </c:marker>
          <c:cat>
            <c:strRef>
              <c:f>'Figure 2.5.'!$Y$7:$Y$11</c:f>
              <c:strCache>
                <c:ptCount val="5"/>
                <c:pt idx="0">
                  <c:v>Poorest</c:v>
                </c:pt>
                <c:pt idx="1">
                  <c:v>2</c:v>
                </c:pt>
                <c:pt idx="2">
                  <c:v>3</c:v>
                </c:pt>
                <c:pt idx="3">
                  <c:v>4</c:v>
                </c:pt>
                <c:pt idx="4">
                  <c:v>Richest</c:v>
                </c:pt>
              </c:strCache>
            </c:strRef>
          </c:cat>
          <c:val>
            <c:numRef>
              <c:f>'Figure 2.5.'!$AE$7:$AE$11</c:f>
              <c:numCache>
                <c:formatCode>0</c:formatCode>
                <c:ptCount val="5"/>
                <c:pt idx="0">
                  <c:v>9.1999999999999993</c:v>
                </c:pt>
                <c:pt idx="1">
                  <c:v>9.1999999999999993</c:v>
                </c:pt>
                <c:pt idx="2">
                  <c:v>9.1999999999999993</c:v>
                </c:pt>
                <c:pt idx="3">
                  <c:v>9.1999999999999993</c:v>
                </c:pt>
                <c:pt idx="4">
                  <c:v>9.1999999999999993</c:v>
                </c:pt>
              </c:numCache>
            </c:numRef>
          </c:val>
          <c:smooth val="0"/>
          <c:extLst>
            <c:ext xmlns:c16="http://schemas.microsoft.com/office/drawing/2014/chart" uri="{C3380CC4-5D6E-409C-BE32-E72D297353CC}">
              <c16:uniqueId val="{00000004-3AC0-4950-8E9C-53E1606A08E5}"/>
            </c:ext>
          </c:extLst>
        </c:ser>
        <c:dLbls>
          <c:showLegendKey val="0"/>
          <c:showVal val="0"/>
          <c:showCatName val="0"/>
          <c:showSerName val="0"/>
          <c:showPercent val="0"/>
          <c:showBubbleSize val="0"/>
        </c:dLbls>
        <c:marker val="1"/>
        <c:smooth val="0"/>
        <c:axId val="836960687"/>
        <c:axId val="836957775"/>
      </c:lineChart>
      <c:catAx>
        <c:axId val="836960687"/>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836957775"/>
        <c:crosses val="autoZero"/>
        <c:auto val="1"/>
        <c:lblAlgn val="ctr"/>
        <c:lblOffset val="100"/>
        <c:noMultiLvlLbl val="0"/>
      </c:catAx>
      <c:valAx>
        <c:axId val="836957775"/>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8369606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85286745626073E-2"/>
          <c:y val="0.17551004781432383"/>
          <c:w val="0.89172741777394793"/>
          <c:h val="0.73171563735352751"/>
        </c:manualLayout>
      </c:layout>
      <c:barChart>
        <c:barDir val="col"/>
        <c:grouping val="stacked"/>
        <c:varyColors val="0"/>
        <c:ser>
          <c:idx val="0"/>
          <c:order val="0"/>
          <c:tx>
            <c:strRef>
              <c:f>'Figure 2.5.'!$Z$13</c:f>
              <c:strCache>
                <c:ptCount val="1"/>
                <c:pt idx="0">
                  <c:v>Food and nonalcoholic beverages</c:v>
                </c:pt>
              </c:strCache>
            </c:strRef>
          </c:tx>
          <c:spPr>
            <a:solidFill>
              <a:schemeClr val="accent1"/>
            </a:solidFill>
            <a:ln>
              <a:noFill/>
            </a:ln>
            <a:effectLst/>
          </c:spPr>
          <c:invertIfNegative val="0"/>
          <c:cat>
            <c:strRef>
              <c:f>'Figure 2.5.'!$Y$14:$Y$18</c:f>
              <c:strCache>
                <c:ptCount val="5"/>
                <c:pt idx="0">
                  <c:v>Poorest</c:v>
                </c:pt>
                <c:pt idx="1">
                  <c:v>2</c:v>
                </c:pt>
                <c:pt idx="2">
                  <c:v>3</c:v>
                </c:pt>
                <c:pt idx="3">
                  <c:v>4</c:v>
                </c:pt>
                <c:pt idx="4">
                  <c:v>Richest</c:v>
                </c:pt>
              </c:strCache>
            </c:strRef>
          </c:cat>
          <c:val>
            <c:numRef>
              <c:f>'Figure 2.5.'!$Z$14:$Z$18</c:f>
              <c:numCache>
                <c:formatCode>0</c:formatCode>
                <c:ptCount val="5"/>
                <c:pt idx="0">
                  <c:v>5.8427329804616797</c:v>
                </c:pt>
                <c:pt idx="1">
                  <c:v>5.0069186358893498</c:v>
                </c:pt>
                <c:pt idx="2">
                  <c:v>4.4094018553405903</c:v>
                </c:pt>
                <c:pt idx="3">
                  <c:v>3.59768772877131</c:v>
                </c:pt>
                <c:pt idx="4">
                  <c:v>2.0085664432399</c:v>
                </c:pt>
              </c:numCache>
            </c:numRef>
          </c:val>
          <c:extLst>
            <c:ext xmlns:c16="http://schemas.microsoft.com/office/drawing/2014/chart" uri="{C3380CC4-5D6E-409C-BE32-E72D297353CC}">
              <c16:uniqueId val="{00000000-BF7D-4664-AD47-669A9BD28D6B}"/>
            </c:ext>
          </c:extLst>
        </c:ser>
        <c:ser>
          <c:idx val="1"/>
          <c:order val="1"/>
          <c:tx>
            <c:strRef>
              <c:f>'Figure 2.5.'!$AA$13</c:f>
              <c:strCache>
                <c:ptCount val="1"/>
                <c:pt idx="0">
                  <c:v>Housing, water, electricity, gas and other fuels</c:v>
                </c:pt>
              </c:strCache>
            </c:strRef>
          </c:tx>
          <c:spPr>
            <a:solidFill>
              <a:schemeClr val="accent2"/>
            </a:solidFill>
            <a:ln>
              <a:noFill/>
            </a:ln>
            <a:effectLst/>
          </c:spPr>
          <c:invertIfNegative val="0"/>
          <c:cat>
            <c:strRef>
              <c:f>'Figure 2.5.'!$Y$14:$Y$18</c:f>
              <c:strCache>
                <c:ptCount val="5"/>
                <c:pt idx="0">
                  <c:v>Poorest</c:v>
                </c:pt>
                <c:pt idx="1">
                  <c:v>2</c:v>
                </c:pt>
                <c:pt idx="2">
                  <c:v>3</c:v>
                </c:pt>
                <c:pt idx="3">
                  <c:v>4</c:v>
                </c:pt>
                <c:pt idx="4">
                  <c:v>Richest</c:v>
                </c:pt>
              </c:strCache>
            </c:strRef>
          </c:cat>
          <c:val>
            <c:numRef>
              <c:f>'Figure 2.5.'!$AA$14:$AA$18</c:f>
              <c:numCache>
                <c:formatCode>0</c:formatCode>
                <c:ptCount val="5"/>
                <c:pt idx="0">
                  <c:v>0.34660219646365498</c:v>
                </c:pt>
                <c:pt idx="1">
                  <c:v>0.38454829616819902</c:v>
                </c:pt>
                <c:pt idx="2">
                  <c:v>0.37744193588643199</c:v>
                </c:pt>
                <c:pt idx="3">
                  <c:v>0.37203441690635303</c:v>
                </c:pt>
                <c:pt idx="4">
                  <c:v>0.34990004210882703</c:v>
                </c:pt>
              </c:numCache>
            </c:numRef>
          </c:val>
          <c:extLst>
            <c:ext xmlns:c16="http://schemas.microsoft.com/office/drawing/2014/chart" uri="{C3380CC4-5D6E-409C-BE32-E72D297353CC}">
              <c16:uniqueId val="{00000001-BF7D-4664-AD47-669A9BD28D6B}"/>
            </c:ext>
          </c:extLst>
        </c:ser>
        <c:ser>
          <c:idx val="2"/>
          <c:order val="2"/>
          <c:tx>
            <c:strRef>
              <c:f>'Figure 2.5.'!$AB$13</c:f>
              <c:strCache>
                <c:ptCount val="1"/>
                <c:pt idx="0">
                  <c:v>Transport</c:v>
                </c:pt>
              </c:strCache>
            </c:strRef>
          </c:tx>
          <c:spPr>
            <a:solidFill>
              <a:schemeClr val="accent3"/>
            </a:solidFill>
            <a:ln>
              <a:noFill/>
            </a:ln>
            <a:effectLst/>
          </c:spPr>
          <c:invertIfNegative val="0"/>
          <c:cat>
            <c:strRef>
              <c:f>'Figure 2.5.'!$Y$14:$Y$18</c:f>
              <c:strCache>
                <c:ptCount val="5"/>
                <c:pt idx="0">
                  <c:v>Poorest</c:v>
                </c:pt>
                <c:pt idx="1">
                  <c:v>2</c:v>
                </c:pt>
                <c:pt idx="2">
                  <c:v>3</c:v>
                </c:pt>
                <c:pt idx="3">
                  <c:v>4</c:v>
                </c:pt>
                <c:pt idx="4">
                  <c:v>Richest</c:v>
                </c:pt>
              </c:strCache>
            </c:strRef>
          </c:cat>
          <c:val>
            <c:numRef>
              <c:f>'Figure 2.5.'!$AB$14:$AB$18</c:f>
              <c:numCache>
                <c:formatCode>0</c:formatCode>
                <c:ptCount val="5"/>
                <c:pt idx="0">
                  <c:v>0.85338526790133107</c:v>
                </c:pt>
                <c:pt idx="1">
                  <c:v>1.0158452474780699</c:v>
                </c:pt>
                <c:pt idx="2">
                  <c:v>1.1214158813419002</c:v>
                </c:pt>
                <c:pt idx="3">
                  <c:v>1.21854585664094</c:v>
                </c:pt>
                <c:pt idx="4">
                  <c:v>1.3105023207083799</c:v>
                </c:pt>
              </c:numCache>
            </c:numRef>
          </c:val>
          <c:extLst>
            <c:ext xmlns:c16="http://schemas.microsoft.com/office/drawing/2014/chart" uri="{C3380CC4-5D6E-409C-BE32-E72D297353CC}">
              <c16:uniqueId val="{00000002-BF7D-4664-AD47-669A9BD28D6B}"/>
            </c:ext>
          </c:extLst>
        </c:ser>
        <c:ser>
          <c:idx val="3"/>
          <c:order val="3"/>
          <c:tx>
            <c:strRef>
              <c:f>'Figure 2.5.'!$AC$13</c:f>
              <c:strCache>
                <c:ptCount val="1"/>
                <c:pt idx="0">
                  <c:v>Other consumption categories </c:v>
                </c:pt>
              </c:strCache>
            </c:strRef>
          </c:tx>
          <c:spPr>
            <a:solidFill>
              <a:srgbClr val="00B050"/>
            </a:solidFill>
            <a:ln>
              <a:noFill/>
            </a:ln>
            <a:effectLst/>
          </c:spPr>
          <c:invertIfNegative val="0"/>
          <c:cat>
            <c:strRef>
              <c:f>'Figure 2.5.'!$Y$14:$Y$18</c:f>
              <c:strCache>
                <c:ptCount val="5"/>
                <c:pt idx="0">
                  <c:v>Poorest</c:v>
                </c:pt>
                <c:pt idx="1">
                  <c:v>2</c:v>
                </c:pt>
                <c:pt idx="2">
                  <c:v>3</c:v>
                </c:pt>
                <c:pt idx="3">
                  <c:v>4</c:v>
                </c:pt>
                <c:pt idx="4">
                  <c:v>Richest</c:v>
                </c:pt>
              </c:strCache>
            </c:strRef>
          </c:cat>
          <c:val>
            <c:numRef>
              <c:f>'Figure 2.5.'!$AC$14:$AC$18</c:f>
              <c:numCache>
                <c:formatCode>0</c:formatCode>
                <c:ptCount val="5"/>
                <c:pt idx="0">
                  <c:v>2.6297756911708303</c:v>
                </c:pt>
                <c:pt idx="1">
                  <c:v>2.7135027598452597</c:v>
                </c:pt>
                <c:pt idx="2">
                  <c:v>2.8559147008127299</c:v>
                </c:pt>
                <c:pt idx="3">
                  <c:v>3.006684825482</c:v>
                </c:pt>
                <c:pt idx="4">
                  <c:v>3.4024522192690498</c:v>
                </c:pt>
              </c:numCache>
            </c:numRef>
          </c:val>
          <c:extLst>
            <c:ext xmlns:c16="http://schemas.microsoft.com/office/drawing/2014/chart" uri="{C3380CC4-5D6E-409C-BE32-E72D297353CC}">
              <c16:uniqueId val="{00000003-BF7D-4664-AD47-669A9BD28D6B}"/>
            </c:ext>
          </c:extLst>
        </c:ser>
        <c:dLbls>
          <c:showLegendKey val="0"/>
          <c:showVal val="0"/>
          <c:showCatName val="0"/>
          <c:showSerName val="0"/>
          <c:showPercent val="0"/>
          <c:showBubbleSize val="0"/>
        </c:dLbls>
        <c:gapWidth val="62"/>
        <c:overlap val="100"/>
        <c:axId val="908749455"/>
        <c:axId val="908744879"/>
      </c:barChart>
      <c:lineChart>
        <c:grouping val="standard"/>
        <c:varyColors val="0"/>
        <c:ser>
          <c:idx val="4"/>
          <c:order val="4"/>
          <c:tx>
            <c:strRef>
              <c:f>'Figure 2.5.'!$AE$13</c:f>
              <c:strCache>
                <c:ptCount val="1"/>
                <c:pt idx="0">
                  <c:v>Annual inflation </c:v>
                </c:pt>
              </c:strCache>
            </c:strRef>
          </c:tx>
          <c:spPr>
            <a:ln w="28575" cap="rnd">
              <a:solidFill>
                <a:srgbClr val="FF0000"/>
              </a:solidFill>
              <a:prstDash val="dash"/>
              <a:round/>
            </a:ln>
            <a:effectLst/>
          </c:spPr>
          <c:marker>
            <c:symbol val="none"/>
          </c:marker>
          <c:cat>
            <c:strRef>
              <c:f>'Figure 2.5.'!$Y$14:$Y$18</c:f>
              <c:strCache>
                <c:ptCount val="5"/>
                <c:pt idx="0">
                  <c:v>Poorest</c:v>
                </c:pt>
                <c:pt idx="1">
                  <c:v>2</c:v>
                </c:pt>
                <c:pt idx="2">
                  <c:v>3</c:v>
                </c:pt>
                <c:pt idx="3">
                  <c:v>4</c:v>
                </c:pt>
                <c:pt idx="4">
                  <c:v>Richest</c:v>
                </c:pt>
              </c:strCache>
            </c:strRef>
          </c:cat>
          <c:val>
            <c:numRef>
              <c:f>'Figure 2.5.'!$AE$14:$AE$18</c:f>
              <c:numCache>
                <c:formatCode>0</c:formatCode>
                <c:ptCount val="5"/>
                <c:pt idx="0">
                  <c:v>8.2000000000000011</c:v>
                </c:pt>
                <c:pt idx="1">
                  <c:v>8.2000000000000011</c:v>
                </c:pt>
                <c:pt idx="2">
                  <c:v>8.2000000000000011</c:v>
                </c:pt>
                <c:pt idx="3">
                  <c:v>8.2000000000000011</c:v>
                </c:pt>
                <c:pt idx="4">
                  <c:v>8.2000000000000011</c:v>
                </c:pt>
              </c:numCache>
            </c:numRef>
          </c:val>
          <c:smooth val="0"/>
          <c:extLst>
            <c:ext xmlns:c16="http://schemas.microsoft.com/office/drawing/2014/chart" uri="{C3380CC4-5D6E-409C-BE32-E72D297353CC}">
              <c16:uniqueId val="{00000004-BF7D-4664-AD47-669A9BD28D6B}"/>
            </c:ext>
          </c:extLst>
        </c:ser>
        <c:dLbls>
          <c:showLegendKey val="0"/>
          <c:showVal val="0"/>
          <c:showCatName val="0"/>
          <c:showSerName val="0"/>
          <c:showPercent val="0"/>
          <c:showBubbleSize val="0"/>
        </c:dLbls>
        <c:marker val="1"/>
        <c:smooth val="0"/>
        <c:axId val="908749455"/>
        <c:axId val="908744879"/>
      </c:lineChart>
      <c:catAx>
        <c:axId val="908749455"/>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08744879"/>
        <c:crosses val="autoZero"/>
        <c:auto val="1"/>
        <c:lblAlgn val="ctr"/>
        <c:lblOffset val="100"/>
        <c:noMultiLvlLbl val="0"/>
      </c:catAx>
      <c:valAx>
        <c:axId val="908744879"/>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087494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99080090759153E-2"/>
          <c:y val="7.4568773632705129E-2"/>
          <c:w val="0.88309126952507211"/>
          <c:h val="0.75714425762021276"/>
        </c:manualLayout>
      </c:layout>
      <c:barChart>
        <c:barDir val="col"/>
        <c:grouping val="stacked"/>
        <c:varyColors val="0"/>
        <c:ser>
          <c:idx val="0"/>
          <c:order val="0"/>
          <c:tx>
            <c:strRef>
              <c:f>'Figure 2.5.'!$Z$20</c:f>
              <c:strCache>
                <c:ptCount val="1"/>
                <c:pt idx="0">
                  <c:v>Food and nonalcoholic beverages</c:v>
                </c:pt>
              </c:strCache>
            </c:strRef>
          </c:tx>
          <c:spPr>
            <a:solidFill>
              <a:schemeClr val="accent1"/>
            </a:solidFill>
            <a:ln>
              <a:noFill/>
            </a:ln>
            <a:effectLst/>
          </c:spPr>
          <c:invertIfNegative val="0"/>
          <c:cat>
            <c:strRef>
              <c:f>'Figure 2.5.'!$Y$21:$Y$25</c:f>
              <c:strCache>
                <c:ptCount val="5"/>
                <c:pt idx="0">
                  <c:v>Poorest</c:v>
                </c:pt>
                <c:pt idx="1">
                  <c:v>2</c:v>
                </c:pt>
                <c:pt idx="2">
                  <c:v>3</c:v>
                </c:pt>
                <c:pt idx="3">
                  <c:v>4</c:v>
                </c:pt>
                <c:pt idx="4">
                  <c:v>Richest</c:v>
                </c:pt>
              </c:strCache>
            </c:strRef>
          </c:cat>
          <c:val>
            <c:numRef>
              <c:f>'Figure 2.5.'!$Z$21:$Z$25</c:f>
              <c:numCache>
                <c:formatCode>0</c:formatCode>
                <c:ptCount val="5"/>
                <c:pt idx="0">
                  <c:v>7.8668904210277901</c:v>
                </c:pt>
                <c:pt idx="1">
                  <c:v>7.5693769350214906</c:v>
                </c:pt>
                <c:pt idx="2">
                  <c:v>7.1796873968428807</c:v>
                </c:pt>
                <c:pt idx="3">
                  <c:v>6.3143924902586495</c:v>
                </c:pt>
                <c:pt idx="4">
                  <c:v>4.9878027541838197</c:v>
                </c:pt>
              </c:numCache>
            </c:numRef>
          </c:val>
          <c:extLst>
            <c:ext xmlns:c16="http://schemas.microsoft.com/office/drawing/2014/chart" uri="{C3380CC4-5D6E-409C-BE32-E72D297353CC}">
              <c16:uniqueId val="{00000000-B9E5-4805-A7A8-048D1B69B9A6}"/>
            </c:ext>
          </c:extLst>
        </c:ser>
        <c:ser>
          <c:idx val="1"/>
          <c:order val="1"/>
          <c:tx>
            <c:strRef>
              <c:f>'Figure 2.5.'!$AA$20</c:f>
              <c:strCache>
                <c:ptCount val="1"/>
                <c:pt idx="0">
                  <c:v>Housing, water, electricity, gas and other fuels</c:v>
                </c:pt>
              </c:strCache>
            </c:strRef>
          </c:tx>
          <c:spPr>
            <a:solidFill>
              <a:schemeClr val="accent2"/>
            </a:solidFill>
            <a:ln>
              <a:noFill/>
            </a:ln>
            <a:effectLst/>
          </c:spPr>
          <c:invertIfNegative val="0"/>
          <c:cat>
            <c:strRef>
              <c:f>'Figure 2.5.'!$Y$21:$Y$25</c:f>
              <c:strCache>
                <c:ptCount val="5"/>
                <c:pt idx="0">
                  <c:v>Poorest</c:v>
                </c:pt>
                <c:pt idx="1">
                  <c:v>2</c:v>
                </c:pt>
                <c:pt idx="2">
                  <c:v>3</c:v>
                </c:pt>
                <c:pt idx="3">
                  <c:v>4</c:v>
                </c:pt>
                <c:pt idx="4">
                  <c:v>Richest</c:v>
                </c:pt>
              </c:strCache>
            </c:strRef>
          </c:cat>
          <c:val>
            <c:numRef>
              <c:f>'Figure 2.5.'!$AA$21:$AA$25</c:f>
              <c:numCache>
                <c:formatCode>0</c:formatCode>
                <c:ptCount val="5"/>
                <c:pt idx="0">
                  <c:v>0.35433529181303797</c:v>
                </c:pt>
                <c:pt idx="1">
                  <c:v>0.370512954193366</c:v>
                </c:pt>
                <c:pt idx="2">
                  <c:v>0.342229930336647</c:v>
                </c:pt>
                <c:pt idx="3">
                  <c:v>0.38911628941110799</c:v>
                </c:pt>
                <c:pt idx="4">
                  <c:v>0.47421979090836203</c:v>
                </c:pt>
              </c:numCache>
            </c:numRef>
          </c:val>
          <c:extLst>
            <c:ext xmlns:c16="http://schemas.microsoft.com/office/drawing/2014/chart" uri="{C3380CC4-5D6E-409C-BE32-E72D297353CC}">
              <c16:uniqueId val="{00000001-B9E5-4805-A7A8-048D1B69B9A6}"/>
            </c:ext>
          </c:extLst>
        </c:ser>
        <c:ser>
          <c:idx val="2"/>
          <c:order val="2"/>
          <c:tx>
            <c:strRef>
              <c:f>'Figure 2.5.'!$AB$20</c:f>
              <c:strCache>
                <c:ptCount val="1"/>
                <c:pt idx="0">
                  <c:v>Transport</c:v>
                </c:pt>
              </c:strCache>
            </c:strRef>
          </c:tx>
          <c:spPr>
            <a:solidFill>
              <a:schemeClr val="accent3"/>
            </a:solidFill>
            <a:ln>
              <a:noFill/>
            </a:ln>
            <a:effectLst/>
          </c:spPr>
          <c:invertIfNegative val="0"/>
          <c:cat>
            <c:strRef>
              <c:f>'Figure 2.5.'!$Y$21:$Y$25</c:f>
              <c:strCache>
                <c:ptCount val="5"/>
                <c:pt idx="0">
                  <c:v>Poorest</c:v>
                </c:pt>
                <c:pt idx="1">
                  <c:v>2</c:v>
                </c:pt>
                <c:pt idx="2">
                  <c:v>3</c:v>
                </c:pt>
                <c:pt idx="3">
                  <c:v>4</c:v>
                </c:pt>
                <c:pt idx="4">
                  <c:v>Richest</c:v>
                </c:pt>
              </c:strCache>
            </c:strRef>
          </c:cat>
          <c:val>
            <c:numRef>
              <c:f>'Figure 2.5.'!$AB$21:$AB$25</c:f>
              <c:numCache>
                <c:formatCode>0</c:formatCode>
                <c:ptCount val="5"/>
                <c:pt idx="0">
                  <c:v>5.4185305033028597E-2</c:v>
                </c:pt>
                <c:pt idx="1">
                  <c:v>6.4280554801539699E-2</c:v>
                </c:pt>
                <c:pt idx="2">
                  <c:v>7.5205325707592002E-2</c:v>
                </c:pt>
                <c:pt idx="3">
                  <c:v>8.9947486526110995E-2</c:v>
                </c:pt>
                <c:pt idx="4">
                  <c:v>0.138878489923797</c:v>
                </c:pt>
              </c:numCache>
            </c:numRef>
          </c:val>
          <c:extLst>
            <c:ext xmlns:c16="http://schemas.microsoft.com/office/drawing/2014/chart" uri="{C3380CC4-5D6E-409C-BE32-E72D297353CC}">
              <c16:uniqueId val="{00000002-B9E5-4805-A7A8-048D1B69B9A6}"/>
            </c:ext>
          </c:extLst>
        </c:ser>
        <c:ser>
          <c:idx val="3"/>
          <c:order val="3"/>
          <c:tx>
            <c:strRef>
              <c:f>'Figure 2.5.'!$AC$20</c:f>
              <c:strCache>
                <c:ptCount val="1"/>
                <c:pt idx="0">
                  <c:v>Other consumption categories </c:v>
                </c:pt>
              </c:strCache>
            </c:strRef>
          </c:tx>
          <c:spPr>
            <a:solidFill>
              <a:srgbClr val="00B050"/>
            </a:solidFill>
            <a:ln>
              <a:noFill/>
            </a:ln>
            <a:effectLst/>
          </c:spPr>
          <c:invertIfNegative val="0"/>
          <c:cat>
            <c:strRef>
              <c:f>'Figure 2.5.'!$Y$21:$Y$25</c:f>
              <c:strCache>
                <c:ptCount val="5"/>
                <c:pt idx="0">
                  <c:v>Poorest</c:v>
                </c:pt>
                <c:pt idx="1">
                  <c:v>2</c:v>
                </c:pt>
                <c:pt idx="2">
                  <c:v>3</c:v>
                </c:pt>
                <c:pt idx="3">
                  <c:v>4</c:v>
                </c:pt>
                <c:pt idx="4">
                  <c:v>Richest</c:v>
                </c:pt>
              </c:strCache>
            </c:strRef>
          </c:cat>
          <c:val>
            <c:numRef>
              <c:f>'Figure 2.5.'!$AC$21:$AC$25</c:f>
              <c:numCache>
                <c:formatCode>0</c:formatCode>
                <c:ptCount val="5"/>
                <c:pt idx="0">
                  <c:v>1.67014392205788</c:v>
                </c:pt>
                <c:pt idx="1">
                  <c:v>1.7660887571145498</c:v>
                </c:pt>
                <c:pt idx="2">
                  <c:v>1.89564223612563</c:v>
                </c:pt>
                <c:pt idx="3">
                  <c:v>2.0831794432231701</c:v>
                </c:pt>
                <c:pt idx="4">
                  <c:v>2.17971699273635</c:v>
                </c:pt>
              </c:numCache>
            </c:numRef>
          </c:val>
          <c:extLst>
            <c:ext xmlns:c16="http://schemas.microsoft.com/office/drawing/2014/chart" uri="{C3380CC4-5D6E-409C-BE32-E72D297353CC}">
              <c16:uniqueId val="{00000003-B9E5-4805-A7A8-048D1B69B9A6}"/>
            </c:ext>
          </c:extLst>
        </c:ser>
        <c:dLbls>
          <c:showLegendKey val="0"/>
          <c:showVal val="0"/>
          <c:showCatName val="0"/>
          <c:showSerName val="0"/>
          <c:showPercent val="0"/>
          <c:showBubbleSize val="0"/>
        </c:dLbls>
        <c:gapWidth val="62"/>
        <c:overlap val="100"/>
        <c:axId val="967940399"/>
        <c:axId val="967942479"/>
      </c:barChart>
      <c:lineChart>
        <c:grouping val="standard"/>
        <c:varyColors val="0"/>
        <c:ser>
          <c:idx val="4"/>
          <c:order val="4"/>
          <c:tx>
            <c:strRef>
              <c:f>'Figure 2.5.'!$AE$20</c:f>
              <c:strCache>
                <c:ptCount val="1"/>
                <c:pt idx="0">
                  <c:v>Annual inflation </c:v>
                </c:pt>
              </c:strCache>
            </c:strRef>
          </c:tx>
          <c:spPr>
            <a:ln w="28575" cap="rnd">
              <a:solidFill>
                <a:srgbClr val="FF0000"/>
              </a:solidFill>
              <a:prstDash val="dash"/>
              <a:round/>
            </a:ln>
            <a:effectLst/>
          </c:spPr>
          <c:marker>
            <c:symbol val="none"/>
          </c:marker>
          <c:cat>
            <c:strRef>
              <c:f>'Figure 2.5.'!$Y$21:$Y$25</c:f>
              <c:strCache>
                <c:ptCount val="5"/>
                <c:pt idx="0">
                  <c:v>Poorest</c:v>
                </c:pt>
                <c:pt idx="1">
                  <c:v>2</c:v>
                </c:pt>
                <c:pt idx="2">
                  <c:v>3</c:v>
                </c:pt>
                <c:pt idx="3">
                  <c:v>4</c:v>
                </c:pt>
                <c:pt idx="4">
                  <c:v>Richest</c:v>
                </c:pt>
              </c:strCache>
            </c:strRef>
          </c:cat>
          <c:val>
            <c:numRef>
              <c:f>'Figure 2.5.'!$AE$21:$AE$25</c:f>
              <c:numCache>
                <c:formatCode>0</c:formatCode>
                <c:ptCount val="5"/>
                <c:pt idx="0">
                  <c:v>9.1399999999999988</c:v>
                </c:pt>
                <c:pt idx="1">
                  <c:v>9.1399999999999988</c:v>
                </c:pt>
                <c:pt idx="2">
                  <c:v>9.1399999999999988</c:v>
                </c:pt>
                <c:pt idx="3">
                  <c:v>9.1399999999999988</c:v>
                </c:pt>
                <c:pt idx="4">
                  <c:v>9.1399999999999988</c:v>
                </c:pt>
              </c:numCache>
            </c:numRef>
          </c:val>
          <c:smooth val="0"/>
          <c:extLst>
            <c:ext xmlns:c16="http://schemas.microsoft.com/office/drawing/2014/chart" uri="{C3380CC4-5D6E-409C-BE32-E72D297353CC}">
              <c16:uniqueId val="{00000004-B9E5-4805-A7A8-048D1B69B9A6}"/>
            </c:ext>
          </c:extLst>
        </c:ser>
        <c:dLbls>
          <c:showLegendKey val="0"/>
          <c:showVal val="0"/>
          <c:showCatName val="0"/>
          <c:showSerName val="0"/>
          <c:showPercent val="0"/>
          <c:showBubbleSize val="0"/>
        </c:dLbls>
        <c:marker val="1"/>
        <c:smooth val="0"/>
        <c:axId val="967940399"/>
        <c:axId val="967942479"/>
      </c:lineChart>
      <c:catAx>
        <c:axId val="967940399"/>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67942479"/>
        <c:crosses val="autoZero"/>
        <c:auto val="1"/>
        <c:lblAlgn val="ctr"/>
        <c:lblOffset val="100"/>
        <c:noMultiLvlLbl val="0"/>
      </c:catAx>
      <c:valAx>
        <c:axId val="967942479"/>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6794039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v>Emerging and developing economies</c:v>
          </c:tx>
          <c:spPr>
            <a:ln w="28575" cap="rnd">
              <a:solidFill>
                <a:schemeClr val="accent6">
                  <a:lumMod val="75000"/>
                </a:schemeClr>
              </a:solidFill>
              <a:round/>
            </a:ln>
            <a:effectLst/>
          </c:spPr>
          <c:marker>
            <c:symbol val="none"/>
          </c:marker>
          <c:cat>
            <c:numRef>
              <c:extLst>
                <c:ext xmlns:c15="http://schemas.microsoft.com/office/drawing/2012/chart" uri="{02D57815-91ED-43cb-92C2-25804820EDAC}">
                  <c15:fullRef>
                    <c15:sqref>'Figure 1.3'!$A$4:$A$390</c15:sqref>
                  </c15:fullRef>
                </c:ext>
              </c:extLst>
              <c:f>'Figure 1.3'!$A$6:$A$390</c:f>
              <c:numCache>
                <c:formatCode>m/d/yyyy</c:formatCode>
                <c:ptCount val="385"/>
                <c:pt idx="0">
                  <c:v>33298</c:v>
                </c:pt>
                <c:pt idx="1">
                  <c:v>33329</c:v>
                </c:pt>
                <c:pt idx="2">
                  <c:v>33359</c:v>
                </c:pt>
                <c:pt idx="3">
                  <c:v>33390</c:v>
                </c:pt>
                <c:pt idx="4">
                  <c:v>33420</c:v>
                </c:pt>
                <c:pt idx="5">
                  <c:v>33451</c:v>
                </c:pt>
                <c:pt idx="6">
                  <c:v>33482</c:v>
                </c:pt>
                <c:pt idx="7">
                  <c:v>33512</c:v>
                </c:pt>
                <c:pt idx="8">
                  <c:v>33543</c:v>
                </c:pt>
                <c:pt idx="9">
                  <c:v>33573</c:v>
                </c:pt>
                <c:pt idx="10">
                  <c:v>33604</c:v>
                </c:pt>
                <c:pt idx="11">
                  <c:v>33635</c:v>
                </c:pt>
                <c:pt idx="12">
                  <c:v>33664</c:v>
                </c:pt>
                <c:pt idx="13">
                  <c:v>33695</c:v>
                </c:pt>
                <c:pt idx="14">
                  <c:v>33725</c:v>
                </c:pt>
                <c:pt idx="15">
                  <c:v>33756</c:v>
                </c:pt>
                <c:pt idx="16">
                  <c:v>33786</c:v>
                </c:pt>
                <c:pt idx="17">
                  <c:v>33817</c:v>
                </c:pt>
                <c:pt idx="18">
                  <c:v>33848</c:v>
                </c:pt>
                <c:pt idx="19">
                  <c:v>33878</c:v>
                </c:pt>
                <c:pt idx="20">
                  <c:v>33909</c:v>
                </c:pt>
                <c:pt idx="21">
                  <c:v>33939</c:v>
                </c:pt>
                <c:pt idx="22">
                  <c:v>33970</c:v>
                </c:pt>
                <c:pt idx="23">
                  <c:v>34001</c:v>
                </c:pt>
                <c:pt idx="24">
                  <c:v>34029</c:v>
                </c:pt>
                <c:pt idx="25">
                  <c:v>34060</c:v>
                </c:pt>
                <c:pt idx="26">
                  <c:v>34090</c:v>
                </c:pt>
                <c:pt idx="27">
                  <c:v>34121</c:v>
                </c:pt>
                <c:pt idx="28">
                  <c:v>34151</c:v>
                </c:pt>
                <c:pt idx="29">
                  <c:v>34182</c:v>
                </c:pt>
                <c:pt idx="30">
                  <c:v>34213</c:v>
                </c:pt>
                <c:pt idx="31">
                  <c:v>34243</c:v>
                </c:pt>
                <c:pt idx="32">
                  <c:v>34274</c:v>
                </c:pt>
                <c:pt idx="33">
                  <c:v>34304</c:v>
                </c:pt>
                <c:pt idx="34">
                  <c:v>34335</c:v>
                </c:pt>
                <c:pt idx="35">
                  <c:v>34366</c:v>
                </c:pt>
                <c:pt idx="36">
                  <c:v>34394</c:v>
                </c:pt>
                <c:pt idx="37">
                  <c:v>34425</c:v>
                </c:pt>
                <c:pt idx="38">
                  <c:v>34455</c:v>
                </c:pt>
                <c:pt idx="39">
                  <c:v>34486</c:v>
                </c:pt>
                <c:pt idx="40">
                  <c:v>34516</c:v>
                </c:pt>
                <c:pt idx="41">
                  <c:v>34547</c:v>
                </c:pt>
                <c:pt idx="42">
                  <c:v>34578</c:v>
                </c:pt>
                <c:pt idx="43">
                  <c:v>34608</c:v>
                </c:pt>
                <c:pt idx="44">
                  <c:v>34639</c:v>
                </c:pt>
                <c:pt idx="45">
                  <c:v>34669</c:v>
                </c:pt>
                <c:pt idx="46">
                  <c:v>34700</c:v>
                </c:pt>
                <c:pt idx="47">
                  <c:v>34731</c:v>
                </c:pt>
                <c:pt idx="48">
                  <c:v>34759</c:v>
                </c:pt>
                <c:pt idx="49">
                  <c:v>34790</c:v>
                </c:pt>
                <c:pt idx="50">
                  <c:v>34820</c:v>
                </c:pt>
                <c:pt idx="51">
                  <c:v>34851</c:v>
                </c:pt>
                <c:pt idx="52">
                  <c:v>34881</c:v>
                </c:pt>
                <c:pt idx="53">
                  <c:v>34912</c:v>
                </c:pt>
                <c:pt idx="54">
                  <c:v>34943</c:v>
                </c:pt>
                <c:pt idx="55">
                  <c:v>34973</c:v>
                </c:pt>
                <c:pt idx="56">
                  <c:v>35004</c:v>
                </c:pt>
                <c:pt idx="57">
                  <c:v>35034</c:v>
                </c:pt>
                <c:pt idx="58">
                  <c:v>35065</c:v>
                </c:pt>
                <c:pt idx="59">
                  <c:v>35096</c:v>
                </c:pt>
                <c:pt idx="60">
                  <c:v>35125</c:v>
                </c:pt>
                <c:pt idx="61">
                  <c:v>35156</c:v>
                </c:pt>
                <c:pt idx="62">
                  <c:v>35186</c:v>
                </c:pt>
                <c:pt idx="63">
                  <c:v>35217</c:v>
                </c:pt>
                <c:pt idx="64">
                  <c:v>35247</c:v>
                </c:pt>
                <c:pt idx="65">
                  <c:v>35278</c:v>
                </c:pt>
                <c:pt idx="66">
                  <c:v>35309</c:v>
                </c:pt>
                <c:pt idx="67">
                  <c:v>35339</c:v>
                </c:pt>
                <c:pt idx="68">
                  <c:v>35370</c:v>
                </c:pt>
                <c:pt idx="69">
                  <c:v>35400</c:v>
                </c:pt>
                <c:pt idx="70">
                  <c:v>35431</c:v>
                </c:pt>
                <c:pt idx="71">
                  <c:v>35462</c:v>
                </c:pt>
                <c:pt idx="72">
                  <c:v>35490</c:v>
                </c:pt>
                <c:pt idx="73">
                  <c:v>35521</c:v>
                </c:pt>
                <c:pt idx="74">
                  <c:v>35551</c:v>
                </c:pt>
                <c:pt idx="75">
                  <c:v>35582</c:v>
                </c:pt>
                <c:pt idx="76">
                  <c:v>35612</c:v>
                </c:pt>
                <c:pt idx="77">
                  <c:v>35643</c:v>
                </c:pt>
                <c:pt idx="78">
                  <c:v>35674</c:v>
                </c:pt>
                <c:pt idx="79">
                  <c:v>35704</c:v>
                </c:pt>
                <c:pt idx="80">
                  <c:v>35735</c:v>
                </c:pt>
                <c:pt idx="81">
                  <c:v>35765</c:v>
                </c:pt>
                <c:pt idx="82">
                  <c:v>35796</c:v>
                </c:pt>
                <c:pt idx="83">
                  <c:v>35827</c:v>
                </c:pt>
                <c:pt idx="84">
                  <c:v>35855</c:v>
                </c:pt>
                <c:pt idx="85">
                  <c:v>35886</c:v>
                </c:pt>
                <c:pt idx="86">
                  <c:v>35916</c:v>
                </c:pt>
                <c:pt idx="87">
                  <c:v>35947</c:v>
                </c:pt>
                <c:pt idx="88">
                  <c:v>35977</c:v>
                </c:pt>
                <c:pt idx="89">
                  <c:v>36008</c:v>
                </c:pt>
                <c:pt idx="90">
                  <c:v>36039</c:v>
                </c:pt>
                <c:pt idx="91">
                  <c:v>36069</c:v>
                </c:pt>
                <c:pt idx="92">
                  <c:v>36100</c:v>
                </c:pt>
                <c:pt idx="93">
                  <c:v>36130</c:v>
                </c:pt>
                <c:pt idx="94">
                  <c:v>36161</c:v>
                </c:pt>
                <c:pt idx="95">
                  <c:v>36192</c:v>
                </c:pt>
                <c:pt idx="96">
                  <c:v>36220</c:v>
                </c:pt>
                <c:pt idx="97">
                  <c:v>36251</c:v>
                </c:pt>
                <c:pt idx="98">
                  <c:v>36281</c:v>
                </c:pt>
                <c:pt idx="99">
                  <c:v>36312</c:v>
                </c:pt>
                <c:pt idx="100">
                  <c:v>36342</c:v>
                </c:pt>
                <c:pt idx="101">
                  <c:v>36373</c:v>
                </c:pt>
                <c:pt idx="102">
                  <c:v>36404</c:v>
                </c:pt>
                <c:pt idx="103">
                  <c:v>36434</c:v>
                </c:pt>
                <c:pt idx="104">
                  <c:v>36465</c:v>
                </c:pt>
                <c:pt idx="105">
                  <c:v>36495</c:v>
                </c:pt>
                <c:pt idx="106">
                  <c:v>36526</c:v>
                </c:pt>
                <c:pt idx="107">
                  <c:v>36557</c:v>
                </c:pt>
                <c:pt idx="108">
                  <c:v>36586</c:v>
                </c:pt>
                <c:pt idx="109">
                  <c:v>36617</c:v>
                </c:pt>
                <c:pt idx="110">
                  <c:v>36647</c:v>
                </c:pt>
                <c:pt idx="111">
                  <c:v>36678</c:v>
                </c:pt>
                <c:pt idx="112">
                  <c:v>36708</c:v>
                </c:pt>
                <c:pt idx="113">
                  <c:v>36739</c:v>
                </c:pt>
                <c:pt idx="114">
                  <c:v>36770</c:v>
                </c:pt>
                <c:pt idx="115">
                  <c:v>36800</c:v>
                </c:pt>
                <c:pt idx="116">
                  <c:v>36831</c:v>
                </c:pt>
                <c:pt idx="117">
                  <c:v>36861</c:v>
                </c:pt>
                <c:pt idx="118">
                  <c:v>36892</c:v>
                </c:pt>
                <c:pt idx="119">
                  <c:v>36923</c:v>
                </c:pt>
                <c:pt idx="120">
                  <c:v>36951</c:v>
                </c:pt>
                <c:pt idx="121">
                  <c:v>36982</c:v>
                </c:pt>
                <c:pt idx="122">
                  <c:v>37012</c:v>
                </c:pt>
                <c:pt idx="123">
                  <c:v>37043</c:v>
                </c:pt>
                <c:pt idx="124">
                  <c:v>37073</c:v>
                </c:pt>
                <c:pt idx="125">
                  <c:v>37104</c:v>
                </c:pt>
                <c:pt idx="126">
                  <c:v>37135</c:v>
                </c:pt>
                <c:pt idx="127">
                  <c:v>37165</c:v>
                </c:pt>
                <c:pt idx="128">
                  <c:v>37196</c:v>
                </c:pt>
                <c:pt idx="129">
                  <c:v>37226</c:v>
                </c:pt>
                <c:pt idx="130">
                  <c:v>37257</c:v>
                </c:pt>
                <c:pt idx="131">
                  <c:v>37288</c:v>
                </c:pt>
                <c:pt idx="132">
                  <c:v>37316</c:v>
                </c:pt>
                <c:pt idx="133">
                  <c:v>37347</c:v>
                </c:pt>
                <c:pt idx="134">
                  <c:v>37377</c:v>
                </c:pt>
                <c:pt idx="135">
                  <c:v>37408</c:v>
                </c:pt>
                <c:pt idx="136">
                  <c:v>37438</c:v>
                </c:pt>
                <c:pt idx="137">
                  <c:v>37469</c:v>
                </c:pt>
                <c:pt idx="138">
                  <c:v>37500</c:v>
                </c:pt>
                <c:pt idx="139">
                  <c:v>37530</c:v>
                </c:pt>
                <c:pt idx="140">
                  <c:v>37561</c:v>
                </c:pt>
                <c:pt idx="141">
                  <c:v>37591</c:v>
                </c:pt>
                <c:pt idx="142">
                  <c:v>37622</c:v>
                </c:pt>
                <c:pt idx="143">
                  <c:v>37653</c:v>
                </c:pt>
                <c:pt idx="144">
                  <c:v>37681</c:v>
                </c:pt>
                <c:pt idx="145">
                  <c:v>37712</c:v>
                </c:pt>
                <c:pt idx="146">
                  <c:v>37742</c:v>
                </c:pt>
                <c:pt idx="147">
                  <c:v>37773</c:v>
                </c:pt>
                <c:pt idx="148">
                  <c:v>37803</c:v>
                </c:pt>
                <c:pt idx="149">
                  <c:v>37834</c:v>
                </c:pt>
                <c:pt idx="150">
                  <c:v>37865</c:v>
                </c:pt>
                <c:pt idx="151">
                  <c:v>37895</c:v>
                </c:pt>
                <c:pt idx="152">
                  <c:v>37926</c:v>
                </c:pt>
                <c:pt idx="153">
                  <c:v>37956</c:v>
                </c:pt>
                <c:pt idx="154">
                  <c:v>37987</c:v>
                </c:pt>
                <c:pt idx="155">
                  <c:v>38018</c:v>
                </c:pt>
                <c:pt idx="156">
                  <c:v>38047</c:v>
                </c:pt>
                <c:pt idx="157">
                  <c:v>38078</c:v>
                </c:pt>
                <c:pt idx="158">
                  <c:v>38108</c:v>
                </c:pt>
                <c:pt idx="159">
                  <c:v>38139</c:v>
                </c:pt>
                <c:pt idx="160">
                  <c:v>38169</c:v>
                </c:pt>
                <c:pt idx="161">
                  <c:v>38200</c:v>
                </c:pt>
                <c:pt idx="162">
                  <c:v>38231</c:v>
                </c:pt>
                <c:pt idx="163">
                  <c:v>38261</c:v>
                </c:pt>
                <c:pt idx="164">
                  <c:v>38292</c:v>
                </c:pt>
                <c:pt idx="165">
                  <c:v>38322</c:v>
                </c:pt>
                <c:pt idx="166">
                  <c:v>38353</c:v>
                </c:pt>
                <c:pt idx="167">
                  <c:v>38384</c:v>
                </c:pt>
                <c:pt idx="168">
                  <c:v>38412</c:v>
                </c:pt>
                <c:pt idx="169">
                  <c:v>38443</c:v>
                </c:pt>
                <c:pt idx="170">
                  <c:v>38473</c:v>
                </c:pt>
                <c:pt idx="171">
                  <c:v>38504</c:v>
                </c:pt>
                <c:pt idx="172">
                  <c:v>38534</c:v>
                </c:pt>
                <c:pt idx="173">
                  <c:v>38565</c:v>
                </c:pt>
                <c:pt idx="174">
                  <c:v>38596</c:v>
                </c:pt>
                <c:pt idx="175">
                  <c:v>38626</c:v>
                </c:pt>
                <c:pt idx="176">
                  <c:v>38657</c:v>
                </c:pt>
                <c:pt idx="177">
                  <c:v>38687</c:v>
                </c:pt>
                <c:pt idx="178">
                  <c:v>38718</c:v>
                </c:pt>
                <c:pt idx="179">
                  <c:v>38749</c:v>
                </c:pt>
                <c:pt idx="180">
                  <c:v>38777</c:v>
                </c:pt>
                <c:pt idx="181">
                  <c:v>38808</c:v>
                </c:pt>
                <c:pt idx="182">
                  <c:v>38838</c:v>
                </c:pt>
                <c:pt idx="183">
                  <c:v>38869</c:v>
                </c:pt>
                <c:pt idx="184">
                  <c:v>38899</c:v>
                </c:pt>
                <c:pt idx="185">
                  <c:v>38930</c:v>
                </c:pt>
                <c:pt idx="186">
                  <c:v>38961</c:v>
                </c:pt>
                <c:pt idx="187">
                  <c:v>38991</c:v>
                </c:pt>
                <c:pt idx="188">
                  <c:v>39022</c:v>
                </c:pt>
                <c:pt idx="189">
                  <c:v>39052</c:v>
                </c:pt>
                <c:pt idx="190">
                  <c:v>39083</c:v>
                </c:pt>
                <c:pt idx="191">
                  <c:v>39114</c:v>
                </c:pt>
                <c:pt idx="192">
                  <c:v>39142</c:v>
                </c:pt>
                <c:pt idx="193">
                  <c:v>39173</c:v>
                </c:pt>
                <c:pt idx="194">
                  <c:v>39203</c:v>
                </c:pt>
                <c:pt idx="195">
                  <c:v>39234</c:v>
                </c:pt>
                <c:pt idx="196">
                  <c:v>39264</c:v>
                </c:pt>
                <c:pt idx="197">
                  <c:v>39295</c:v>
                </c:pt>
                <c:pt idx="198">
                  <c:v>39326</c:v>
                </c:pt>
                <c:pt idx="199">
                  <c:v>39356</c:v>
                </c:pt>
                <c:pt idx="200">
                  <c:v>39387</c:v>
                </c:pt>
                <c:pt idx="201">
                  <c:v>39417</c:v>
                </c:pt>
                <c:pt idx="202">
                  <c:v>39448</c:v>
                </c:pt>
                <c:pt idx="203">
                  <c:v>39479</c:v>
                </c:pt>
                <c:pt idx="204">
                  <c:v>39508</c:v>
                </c:pt>
                <c:pt idx="205">
                  <c:v>39539</c:v>
                </c:pt>
                <c:pt idx="206">
                  <c:v>39569</c:v>
                </c:pt>
                <c:pt idx="207">
                  <c:v>39600</c:v>
                </c:pt>
                <c:pt idx="208">
                  <c:v>39630</c:v>
                </c:pt>
                <c:pt idx="209">
                  <c:v>39661</c:v>
                </c:pt>
                <c:pt idx="210">
                  <c:v>39692</c:v>
                </c:pt>
                <c:pt idx="211">
                  <c:v>39722</c:v>
                </c:pt>
                <c:pt idx="212">
                  <c:v>39753</c:v>
                </c:pt>
                <c:pt idx="213">
                  <c:v>39783</c:v>
                </c:pt>
                <c:pt idx="214">
                  <c:v>39814</c:v>
                </c:pt>
                <c:pt idx="215">
                  <c:v>39845</c:v>
                </c:pt>
                <c:pt idx="216">
                  <c:v>39873</c:v>
                </c:pt>
                <c:pt idx="217">
                  <c:v>39904</c:v>
                </c:pt>
                <c:pt idx="218">
                  <c:v>39934</c:v>
                </c:pt>
                <c:pt idx="219">
                  <c:v>39965</c:v>
                </c:pt>
                <c:pt idx="220">
                  <c:v>39995</c:v>
                </c:pt>
                <c:pt idx="221">
                  <c:v>40026</c:v>
                </c:pt>
                <c:pt idx="222">
                  <c:v>40057</c:v>
                </c:pt>
                <c:pt idx="223">
                  <c:v>40087</c:v>
                </c:pt>
                <c:pt idx="224">
                  <c:v>40118</c:v>
                </c:pt>
                <c:pt idx="225">
                  <c:v>40148</c:v>
                </c:pt>
                <c:pt idx="226">
                  <c:v>40179</c:v>
                </c:pt>
                <c:pt idx="227">
                  <c:v>40210</c:v>
                </c:pt>
                <c:pt idx="228">
                  <c:v>40238</c:v>
                </c:pt>
                <c:pt idx="229">
                  <c:v>40269</c:v>
                </c:pt>
                <c:pt idx="230">
                  <c:v>40299</c:v>
                </c:pt>
                <c:pt idx="231">
                  <c:v>40330</c:v>
                </c:pt>
                <c:pt idx="232">
                  <c:v>40360</c:v>
                </c:pt>
                <c:pt idx="233">
                  <c:v>40391</c:v>
                </c:pt>
                <c:pt idx="234">
                  <c:v>40422</c:v>
                </c:pt>
                <c:pt idx="235">
                  <c:v>40452</c:v>
                </c:pt>
                <c:pt idx="236">
                  <c:v>40483</c:v>
                </c:pt>
                <c:pt idx="237">
                  <c:v>40513</c:v>
                </c:pt>
                <c:pt idx="238">
                  <c:v>40544</c:v>
                </c:pt>
                <c:pt idx="239">
                  <c:v>40575</c:v>
                </c:pt>
                <c:pt idx="240">
                  <c:v>40603</c:v>
                </c:pt>
                <c:pt idx="241">
                  <c:v>40634</c:v>
                </c:pt>
                <c:pt idx="242">
                  <c:v>40664</c:v>
                </c:pt>
                <c:pt idx="243">
                  <c:v>40695</c:v>
                </c:pt>
                <c:pt idx="244">
                  <c:v>40725</c:v>
                </c:pt>
                <c:pt idx="245">
                  <c:v>40756</c:v>
                </c:pt>
                <c:pt idx="246">
                  <c:v>40787</c:v>
                </c:pt>
                <c:pt idx="247">
                  <c:v>40817</c:v>
                </c:pt>
                <c:pt idx="248">
                  <c:v>40848</c:v>
                </c:pt>
                <c:pt idx="249">
                  <c:v>40878</c:v>
                </c:pt>
                <c:pt idx="250">
                  <c:v>40909</c:v>
                </c:pt>
                <c:pt idx="251">
                  <c:v>40940</c:v>
                </c:pt>
                <c:pt idx="252">
                  <c:v>40969</c:v>
                </c:pt>
                <c:pt idx="253">
                  <c:v>41000</c:v>
                </c:pt>
                <c:pt idx="254">
                  <c:v>41030</c:v>
                </c:pt>
                <c:pt idx="255">
                  <c:v>41061</c:v>
                </c:pt>
                <c:pt idx="256">
                  <c:v>41091</c:v>
                </c:pt>
                <c:pt idx="257">
                  <c:v>41122</c:v>
                </c:pt>
                <c:pt idx="258">
                  <c:v>41153</c:v>
                </c:pt>
                <c:pt idx="259">
                  <c:v>41183</c:v>
                </c:pt>
                <c:pt idx="260">
                  <c:v>41214</c:v>
                </c:pt>
                <c:pt idx="261">
                  <c:v>41244</c:v>
                </c:pt>
                <c:pt idx="262">
                  <c:v>41275</c:v>
                </c:pt>
                <c:pt idx="263">
                  <c:v>41306</c:v>
                </c:pt>
                <c:pt idx="264">
                  <c:v>41334</c:v>
                </c:pt>
                <c:pt idx="265">
                  <c:v>41365</c:v>
                </c:pt>
                <c:pt idx="266">
                  <c:v>41395</c:v>
                </c:pt>
                <c:pt idx="267">
                  <c:v>41426</c:v>
                </c:pt>
                <c:pt idx="268">
                  <c:v>41456</c:v>
                </c:pt>
                <c:pt idx="269">
                  <c:v>41487</c:v>
                </c:pt>
                <c:pt idx="270">
                  <c:v>41518</c:v>
                </c:pt>
                <c:pt idx="271">
                  <c:v>41548</c:v>
                </c:pt>
                <c:pt idx="272">
                  <c:v>41579</c:v>
                </c:pt>
                <c:pt idx="273">
                  <c:v>41609</c:v>
                </c:pt>
                <c:pt idx="274">
                  <c:v>41640</c:v>
                </c:pt>
                <c:pt idx="275">
                  <c:v>41671</c:v>
                </c:pt>
                <c:pt idx="276">
                  <c:v>41699</c:v>
                </c:pt>
                <c:pt idx="277">
                  <c:v>41730</c:v>
                </c:pt>
                <c:pt idx="278">
                  <c:v>41760</c:v>
                </c:pt>
                <c:pt idx="279">
                  <c:v>41791</c:v>
                </c:pt>
                <c:pt idx="280">
                  <c:v>41821</c:v>
                </c:pt>
                <c:pt idx="281">
                  <c:v>41852</c:v>
                </c:pt>
                <c:pt idx="282">
                  <c:v>41883</c:v>
                </c:pt>
                <c:pt idx="283">
                  <c:v>41913</c:v>
                </c:pt>
                <c:pt idx="284">
                  <c:v>41944</c:v>
                </c:pt>
                <c:pt idx="285">
                  <c:v>41974</c:v>
                </c:pt>
                <c:pt idx="286">
                  <c:v>42005</c:v>
                </c:pt>
                <c:pt idx="287">
                  <c:v>42036</c:v>
                </c:pt>
                <c:pt idx="288">
                  <c:v>42064</c:v>
                </c:pt>
                <c:pt idx="289">
                  <c:v>42095</c:v>
                </c:pt>
                <c:pt idx="290">
                  <c:v>42125</c:v>
                </c:pt>
                <c:pt idx="291">
                  <c:v>42156</c:v>
                </c:pt>
                <c:pt idx="292">
                  <c:v>42186</c:v>
                </c:pt>
                <c:pt idx="293">
                  <c:v>42217</c:v>
                </c:pt>
                <c:pt idx="294">
                  <c:v>42248</c:v>
                </c:pt>
                <c:pt idx="295">
                  <c:v>42278</c:v>
                </c:pt>
                <c:pt idx="296">
                  <c:v>42309</c:v>
                </c:pt>
                <c:pt idx="297">
                  <c:v>42339</c:v>
                </c:pt>
                <c:pt idx="298">
                  <c:v>42370</c:v>
                </c:pt>
                <c:pt idx="299">
                  <c:v>42401</c:v>
                </c:pt>
                <c:pt idx="300">
                  <c:v>42430</c:v>
                </c:pt>
                <c:pt idx="301">
                  <c:v>42461</c:v>
                </c:pt>
                <c:pt idx="302">
                  <c:v>42491</c:v>
                </c:pt>
                <c:pt idx="303">
                  <c:v>42522</c:v>
                </c:pt>
                <c:pt idx="304">
                  <c:v>42552</c:v>
                </c:pt>
                <c:pt idx="305">
                  <c:v>42583</c:v>
                </c:pt>
                <c:pt idx="306">
                  <c:v>42614</c:v>
                </c:pt>
                <c:pt idx="307">
                  <c:v>42644</c:v>
                </c:pt>
                <c:pt idx="308">
                  <c:v>42675</c:v>
                </c:pt>
                <c:pt idx="309">
                  <c:v>42705</c:v>
                </c:pt>
                <c:pt idx="310">
                  <c:v>42736</c:v>
                </c:pt>
                <c:pt idx="311">
                  <c:v>42767</c:v>
                </c:pt>
                <c:pt idx="312">
                  <c:v>42795</c:v>
                </c:pt>
                <c:pt idx="313">
                  <c:v>42826</c:v>
                </c:pt>
                <c:pt idx="314">
                  <c:v>42856</c:v>
                </c:pt>
                <c:pt idx="315">
                  <c:v>42887</c:v>
                </c:pt>
                <c:pt idx="316">
                  <c:v>42917</c:v>
                </c:pt>
                <c:pt idx="317">
                  <c:v>42948</c:v>
                </c:pt>
                <c:pt idx="318">
                  <c:v>42979</c:v>
                </c:pt>
                <c:pt idx="319">
                  <c:v>43009</c:v>
                </c:pt>
                <c:pt idx="320">
                  <c:v>43040</c:v>
                </c:pt>
                <c:pt idx="321">
                  <c:v>43070</c:v>
                </c:pt>
                <c:pt idx="322">
                  <c:v>43101</c:v>
                </c:pt>
                <c:pt idx="323">
                  <c:v>43132</c:v>
                </c:pt>
                <c:pt idx="324">
                  <c:v>43160</c:v>
                </c:pt>
                <c:pt idx="325">
                  <c:v>43191</c:v>
                </c:pt>
                <c:pt idx="326">
                  <c:v>43221</c:v>
                </c:pt>
                <c:pt idx="327">
                  <c:v>43252</c:v>
                </c:pt>
                <c:pt idx="328">
                  <c:v>43282</c:v>
                </c:pt>
                <c:pt idx="329">
                  <c:v>43313</c:v>
                </c:pt>
                <c:pt idx="330">
                  <c:v>43344</c:v>
                </c:pt>
                <c:pt idx="331">
                  <c:v>43374</c:v>
                </c:pt>
                <c:pt idx="332">
                  <c:v>43405</c:v>
                </c:pt>
                <c:pt idx="333">
                  <c:v>43435</c:v>
                </c:pt>
                <c:pt idx="334">
                  <c:v>43466</c:v>
                </c:pt>
                <c:pt idx="335">
                  <c:v>43497</c:v>
                </c:pt>
                <c:pt idx="336">
                  <c:v>43525</c:v>
                </c:pt>
                <c:pt idx="337">
                  <c:v>43556</c:v>
                </c:pt>
                <c:pt idx="338">
                  <c:v>43586</c:v>
                </c:pt>
                <c:pt idx="339">
                  <c:v>43617</c:v>
                </c:pt>
                <c:pt idx="340">
                  <c:v>43647</c:v>
                </c:pt>
                <c:pt idx="341">
                  <c:v>43678</c:v>
                </c:pt>
                <c:pt idx="342">
                  <c:v>43709</c:v>
                </c:pt>
                <c:pt idx="343">
                  <c:v>43739</c:v>
                </c:pt>
                <c:pt idx="344">
                  <c:v>43770</c:v>
                </c:pt>
                <c:pt idx="345">
                  <c:v>43800</c:v>
                </c:pt>
                <c:pt idx="346">
                  <c:v>43831</c:v>
                </c:pt>
                <c:pt idx="347">
                  <c:v>43862</c:v>
                </c:pt>
                <c:pt idx="348">
                  <c:v>43891</c:v>
                </c:pt>
                <c:pt idx="349">
                  <c:v>43922</c:v>
                </c:pt>
                <c:pt idx="350">
                  <c:v>43952</c:v>
                </c:pt>
                <c:pt idx="351">
                  <c:v>43983</c:v>
                </c:pt>
                <c:pt idx="352">
                  <c:v>44013</c:v>
                </c:pt>
                <c:pt idx="353">
                  <c:v>44044</c:v>
                </c:pt>
                <c:pt idx="354">
                  <c:v>44075</c:v>
                </c:pt>
                <c:pt idx="355">
                  <c:v>44105</c:v>
                </c:pt>
                <c:pt idx="356">
                  <c:v>44136</c:v>
                </c:pt>
                <c:pt idx="357">
                  <c:v>44166</c:v>
                </c:pt>
                <c:pt idx="358">
                  <c:v>44197</c:v>
                </c:pt>
                <c:pt idx="359">
                  <c:v>44228</c:v>
                </c:pt>
                <c:pt idx="360">
                  <c:v>44256</c:v>
                </c:pt>
                <c:pt idx="361">
                  <c:v>44287</c:v>
                </c:pt>
                <c:pt idx="362">
                  <c:v>44317</c:v>
                </c:pt>
                <c:pt idx="363">
                  <c:v>44348</c:v>
                </c:pt>
                <c:pt idx="364">
                  <c:v>44378</c:v>
                </c:pt>
                <c:pt idx="365">
                  <c:v>44409</c:v>
                </c:pt>
                <c:pt idx="366">
                  <c:v>44440</c:v>
                </c:pt>
                <c:pt idx="367">
                  <c:v>44470</c:v>
                </c:pt>
                <c:pt idx="368">
                  <c:v>44501</c:v>
                </c:pt>
                <c:pt idx="369">
                  <c:v>44531</c:v>
                </c:pt>
                <c:pt idx="370">
                  <c:v>44562</c:v>
                </c:pt>
                <c:pt idx="371">
                  <c:v>44593</c:v>
                </c:pt>
                <c:pt idx="372">
                  <c:v>44621</c:v>
                </c:pt>
                <c:pt idx="373">
                  <c:v>44652</c:v>
                </c:pt>
                <c:pt idx="374">
                  <c:v>44682</c:v>
                </c:pt>
                <c:pt idx="375">
                  <c:v>44713</c:v>
                </c:pt>
                <c:pt idx="376">
                  <c:v>44743</c:v>
                </c:pt>
                <c:pt idx="377">
                  <c:v>44774</c:v>
                </c:pt>
                <c:pt idx="378">
                  <c:v>44805</c:v>
                </c:pt>
                <c:pt idx="379">
                  <c:v>44835</c:v>
                </c:pt>
                <c:pt idx="380">
                  <c:v>44866</c:v>
                </c:pt>
                <c:pt idx="381">
                  <c:v>44896</c:v>
                </c:pt>
                <c:pt idx="382">
                  <c:v>44927</c:v>
                </c:pt>
                <c:pt idx="383">
                  <c:v>44958</c:v>
                </c:pt>
                <c:pt idx="384">
                  <c:v>44986</c:v>
                </c:pt>
              </c:numCache>
            </c:numRef>
          </c:cat>
          <c:val>
            <c:numRef>
              <c:extLst>
                <c:ext xmlns:c15="http://schemas.microsoft.com/office/drawing/2012/chart" uri="{02D57815-91ED-43cb-92C2-25804820EDAC}">
                  <c15:fullRef>
                    <c15:sqref>'Figure 1.3'!$F$4:$F$390</c15:sqref>
                  </c15:fullRef>
                </c:ext>
              </c:extLst>
              <c:f>'Figure 1.3'!$F$6:$F$390</c:f>
              <c:numCache>
                <c:formatCode>General</c:formatCode>
                <c:ptCount val="385"/>
                <c:pt idx="0">
                  <c:v>3.758327995217412</c:v>
                </c:pt>
                <c:pt idx="1">
                  <c:v>3.8761531196450698</c:v>
                </c:pt>
                <c:pt idx="2">
                  <c:v>3.9197069302514222</c:v>
                </c:pt>
                <c:pt idx="3">
                  <c:v>3.8294943742920613</c:v>
                </c:pt>
                <c:pt idx="4">
                  <c:v>3.9696833326440366</c:v>
                </c:pt>
                <c:pt idx="5">
                  <c:v>4.4604033416951401</c:v>
                </c:pt>
                <c:pt idx="6">
                  <c:v>4.9857110316705224</c:v>
                </c:pt>
                <c:pt idx="7">
                  <c:v>5.1475746907301305</c:v>
                </c:pt>
                <c:pt idx="8">
                  <c:v>5.4120086378533987</c:v>
                </c:pt>
                <c:pt idx="9">
                  <c:v>6.2823271321491214</c:v>
                </c:pt>
                <c:pt idx="10">
                  <c:v>5.9401564272229299</c:v>
                </c:pt>
                <c:pt idx="11">
                  <c:v>5.7889722829636874</c:v>
                </c:pt>
                <c:pt idx="12">
                  <c:v>5.4902499483918339</c:v>
                </c:pt>
                <c:pt idx="13">
                  <c:v>5.4064606290542923</c:v>
                </c:pt>
                <c:pt idx="14">
                  <c:v>5.6979284152666301</c:v>
                </c:pt>
                <c:pt idx="15">
                  <c:v>5.9328448581803652</c:v>
                </c:pt>
                <c:pt idx="16">
                  <c:v>6.3700500483209055</c:v>
                </c:pt>
                <c:pt idx="17">
                  <c:v>6.4560475792350305</c:v>
                </c:pt>
                <c:pt idx="18">
                  <c:v>5.2204149323888203</c:v>
                </c:pt>
                <c:pt idx="19">
                  <c:v>4.765588521831031</c:v>
                </c:pt>
                <c:pt idx="20">
                  <c:v>4.7099332823704474</c:v>
                </c:pt>
                <c:pt idx="21">
                  <c:v>5.0167565075710439</c:v>
                </c:pt>
                <c:pt idx="22">
                  <c:v>5.4032802023246527</c:v>
                </c:pt>
                <c:pt idx="23">
                  <c:v>5.7952009973521035</c:v>
                </c:pt>
                <c:pt idx="24">
                  <c:v>5.8634581170154423</c:v>
                </c:pt>
                <c:pt idx="25">
                  <c:v>5.9391506196066084</c:v>
                </c:pt>
                <c:pt idx="26">
                  <c:v>5.8939690966193377</c:v>
                </c:pt>
                <c:pt idx="27">
                  <c:v>6.3044043240385284</c:v>
                </c:pt>
                <c:pt idx="28">
                  <c:v>6.2079559953425125</c:v>
                </c:pt>
                <c:pt idx="29">
                  <c:v>6.6308713898005109</c:v>
                </c:pt>
                <c:pt idx="30">
                  <c:v>6.7250921944482958</c:v>
                </c:pt>
                <c:pt idx="31">
                  <c:v>6.7404545629895392</c:v>
                </c:pt>
                <c:pt idx="32">
                  <c:v>6.403707817060873</c:v>
                </c:pt>
                <c:pt idx="33">
                  <c:v>53.187472517923567</c:v>
                </c:pt>
                <c:pt idx="34">
                  <c:v>52.791970974233713</c:v>
                </c:pt>
                <c:pt idx="35">
                  <c:v>58.902223337165822</c:v>
                </c:pt>
                <c:pt idx="36">
                  <c:v>116.06856961269445</c:v>
                </c:pt>
                <c:pt idx="37">
                  <c:v>199.91735971549667</c:v>
                </c:pt>
                <c:pt idx="38">
                  <c:v>204.07916956466212</c:v>
                </c:pt>
                <c:pt idx="39">
                  <c:v>194.74597610120838</c:v>
                </c:pt>
                <c:pt idx="40">
                  <c:v>192.36791325600259</c:v>
                </c:pt>
                <c:pt idx="41">
                  <c:v>164.24287926741849</c:v>
                </c:pt>
                <c:pt idx="42">
                  <c:v>157.35449797853735</c:v>
                </c:pt>
                <c:pt idx="43">
                  <c:v>163.42567263048051</c:v>
                </c:pt>
                <c:pt idx="44">
                  <c:v>168.6151964245602</c:v>
                </c:pt>
                <c:pt idx="45">
                  <c:v>171.95095495547349</c:v>
                </c:pt>
                <c:pt idx="46">
                  <c:v>212.63248454311693</c:v>
                </c:pt>
                <c:pt idx="47">
                  <c:v>231.84953296049639</c:v>
                </c:pt>
                <c:pt idx="48">
                  <c:v>259.32446335976334</c:v>
                </c:pt>
                <c:pt idx="49">
                  <c:v>225.37503793976558</c:v>
                </c:pt>
                <c:pt idx="50">
                  <c:v>202.10281524165219</c:v>
                </c:pt>
                <c:pt idx="51">
                  <c:v>212.45989765497919</c:v>
                </c:pt>
                <c:pt idx="52">
                  <c:v>205.41538950779619</c:v>
                </c:pt>
                <c:pt idx="53">
                  <c:v>202.53400539031463</c:v>
                </c:pt>
                <c:pt idx="54">
                  <c:v>197.46739462298103</c:v>
                </c:pt>
                <c:pt idx="55">
                  <c:v>204.95664500654908</c:v>
                </c:pt>
                <c:pt idx="56">
                  <c:v>216.51773025630237</c:v>
                </c:pt>
                <c:pt idx="57">
                  <c:v>201.93760203955136</c:v>
                </c:pt>
                <c:pt idx="58">
                  <c:v>183.51571671892532</c:v>
                </c:pt>
                <c:pt idx="59">
                  <c:v>170.55374772601803</c:v>
                </c:pt>
                <c:pt idx="60">
                  <c:v>182.04117392107736</c:v>
                </c:pt>
                <c:pt idx="61">
                  <c:v>170.80318878801233</c:v>
                </c:pt>
                <c:pt idx="62">
                  <c:v>157.70855546893242</c:v>
                </c:pt>
                <c:pt idx="63">
                  <c:v>152.82087631466743</c:v>
                </c:pt>
                <c:pt idx="64">
                  <c:v>141.19426771195555</c:v>
                </c:pt>
                <c:pt idx="65">
                  <c:v>134.94923321749832</c:v>
                </c:pt>
                <c:pt idx="66">
                  <c:v>120.37442299962508</c:v>
                </c:pt>
                <c:pt idx="67">
                  <c:v>114.7107039168954</c:v>
                </c:pt>
                <c:pt idx="68">
                  <c:v>113.11550714513845</c:v>
                </c:pt>
                <c:pt idx="69">
                  <c:v>97.470964914881137</c:v>
                </c:pt>
                <c:pt idx="70">
                  <c:v>89.813035053764224</c:v>
                </c:pt>
                <c:pt idx="71">
                  <c:v>80.07711267359862</c:v>
                </c:pt>
                <c:pt idx="72">
                  <c:v>82.56866589843608</c:v>
                </c:pt>
                <c:pt idx="73">
                  <c:v>88.719445427783327</c:v>
                </c:pt>
                <c:pt idx="74">
                  <c:v>83.379921341023689</c:v>
                </c:pt>
                <c:pt idx="75">
                  <c:v>81.502055187289074</c:v>
                </c:pt>
                <c:pt idx="76">
                  <c:v>82.127897526386292</c:v>
                </c:pt>
                <c:pt idx="77">
                  <c:v>78.28242294758742</c:v>
                </c:pt>
                <c:pt idx="78">
                  <c:v>86.920428702958787</c:v>
                </c:pt>
                <c:pt idx="79">
                  <c:v>96.429254764749004</c:v>
                </c:pt>
                <c:pt idx="80">
                  <c:v>120.08581625698716</c:v>
                </c:pt>
                <c:pt idx="81">
                  <c:v>135.7460625922578</c:v>
                </c:pt>
                <c:pt idx="82">
                  <c:v>147.63617425613907</c:v>
                </c:pt>
                <c:pt idx="83">
                  <c:v>146.90974678945673</c:v>
                </c:pt>
                <c:pt idx="84">
                  <c:v>141.46313467954295</c:v>
                </c:pt>
                <c:pt idx="85">
                  <c:v>143.4154724160436</c:v>
                </c:pt>
                <c:pt idx="86">
                  <c:v>152.84461136347073</c:v>
                </c:pt>
                <c:pt idx="87">
                  <c:v>166.62404262521156</c:v>
                </c:pt>
                <c:pt idx="88">
                  <c:v>168.13452777012293</c:v>
                </c:pt>
                <c:pt idx="89">
                  <c:v>336.99539052616331</c:v>
                </c:pt>
                <c:pt idx="90">
                  <c:v>344.25402650817426</c:v>
                </c:pt>
                <c:pt idx="91">
                  <c:v>278.10050562326262</c:v>
                </c:pt>
                <c:pt idx="92">
                  <c:v>250.67979448794222</c:v>
                </c:pt>
                <c:pt idx="93">
                  <c:v>260.26162922142345</c:v>
                </c:pt>
                <c:pt idx="94">
                  <c:v>290.74503056545205</c:v>
                </c:pt>
                <c:pt idx="95">
                  <c:v>291.25822724759405</c:v>
                </c:pt>
                <c:pt idx="96">
                  <c:v>250.77096566715792</c:v>
                </c:pt>
                <c:pt idx="97">
                  <c:v>215.15353488106479</c:v>
                </c:pt>
                <c:pt idx="98">
                  <c:v>240.34979065213437</c:v>
                </c:pt>
                <c:pt idx="99">
                  <c:v>222.91786189150699</c:v>
                </c:pt>
                <c:pt idx="100">
                  <c:v>240.75398661903657</c:v>
                </c:pt>
                <c:pt idx="101">
                  <c:v>254.11030143607522</c:v>
                </c:pt>
                <c:pt idx="102">
                  <c:v>236.89250076681256</c:v>
                </c:pt>
                <c:pt idx="103">
                  <c:v>209.83264661748348</c:v>
                </c:pt>
                <c:pt idx="104">
                  <c:v>188.848762273695</c:v>
                </c:pt>
                <c:pt idx="105">
                  <c:v>170.24166547327923</c:v>
                </c:pt>
                <c:pt idx="106">
                  <c:v>182.82470948782031</c:v>
                </c:pt>
                <c:pt idx="107">
                  <c:v>168.26685548937417</c:v>
                </c:pt>
                <c:pt idx="108">
                  <c:v>170.41436445790993</c:v>
                </c:pt>
                <c:pt idx="109">
                  <c:v>190.50018531547451</c:v>
                </c:pt>
                <c:pt idx="110">
                  <c:v>203.27013486789346</c:v>
                </c:pt>
                <c:pt idx="111">
                  <c:v>196.82997318003709</c:v>
                </c:pt>
                <c:pt idx="112">
                  <c:v>186.94069333758802</c:v>
                </c:pt>
                <c:pt idx="113">
                  <c:v>177.278776758443</c:v>
                </c:pt>
                <c:pt idx="114">
                  <c:v>179.15661187959765</c:v>
                </c:pt>
                <c:pt idx="115">
                  <c:v>191.20287371247204</c:v>
                </c:pt>
                <c:pt idx="116">
                  <c:v>198.12449395475002</c:v>
                </c:pt>
                <c:pt idx="117">
                  <c:v>194.16895684742008</c:v>
                </c:pt>
                <c:pt idx="118">
                  <c:v>180.92855726957723</c:v>
                </c:pt>
                <c:pt idx="119">
                  <c:v>190.94321158795694</c:v>
                </c:pt>
                <c:pt idx="120">
                  <c:v>189.56279602176056</c:v>
                </c:pt>
                <c:pt idx="121">
                  <c:v>188.80838824039037</c:v>
                </c:pt>
                <c:pt idx="122">
                  <c:v>178.84918079241498</c:v>
                </c:pt>
                <c:pt idx="123">
                  <c:v>176.13377395228193</c:v>
                </c:pt>
                <c:pt idx="124">
                  <c:v>193.52556280621093</c:v>
                </c:pt>
                <c:pt idx="125">
                  <c:v>193.89848636108877</c:v>
                </c:pt>
                <c:pt idx="126">
                  <c:v>220.01392950555089</c:v>
                </c:pt>
                <c:pt idx="127">
                  <c:v>221.3398318989496</c:v>
                </c:pt>
                <c:pt idx="128">
                  <c:v>215.30090883292638</c:v>
                </c:pt>
                <c:pt idx="129">
                  <c:v>218.63592106473334</c:v>
                </c:pt>
                <c:pt idx="130">
                  <c:v>222.32393890038037</c:v>
                </c:pt>
                <c:pt idx="131">
                  <c:v>217.73963475468292</c:v>
                </c:pt>
                <c:pt idx="132">
                  <c:v>221.33946052294783</c:v>
                </c:pt>
                <c:pt idx="133">
                  <c:v>219.62449974044441</c:v>
                </c:pt>
                <c:pt idx="134">
                  <c:v>245.73408944928838</c:v>
                </c:pt>
                <c:pt idx="135">
                  <c:v>302.01937601440153</c:v>
                </c:pt>
                <c:pt idx="136">
                  <c:v>357.15273829328885</c:v>
                </c:pt>
                <c:pt idx="137">
                  <c:v>309.23831842057433</c:v>
                </c:pt>
                <c:pt idx="138">
                  <c:v>346.39665806936677</c:v>
                </c:pt>
                <c:pt idx="139">
                  <c:v>298.20096225376392</c:v>
                </c:pt>
                <c:pt idx="140">
                  <c:v>281.48367937121935</c:v>
                </c:pt>
                <c:pt idx="141">
                  <c:v>270.19478192889437</c:v>
                </c:pt>
                <c:pt idx="142">
                  <c:v>253.35956763561268</c:v>
                </c:pt>
                <c:pt idx="143">
                  <c:v>258.74670589543143</c:v>
                </c:pt>
                <c:pt idx="144">
                  <c:v>238.2701889520622</c:v>
                </c:pt>
                <c:pt idx="145">
                  <c:v>203.15992472898213</c:v>
                </c:pt>
                <c:pt idx="146">
                  <c:v>201.69201084165559</c:v>
                </c:pt>
                <c:pt idx="147">
                  <c:v>181.60307656540152</c:v>
                </c:pt>
                <c:pt idx="148">
                  <c:v>183.60538579829901</c:v>
                </c:pt>
                <c:pt idx="149">
                  <c:v>176.33599295539054</c:v>
                </c:pt>
                <c:pt idx="150">
                  <c:v>183.14041412948873</c:v>
                </c:pt>
                <c:pt idx="151">
                  <c:v>178.11342573641878</c:v>
                </c:pt>
                <c:pt idx="152">
                  <c:v>185.40638118415137</c:v>
                </c:pt>
                <c:pt idx="153">
                  <c:v>174.69412638678958</c:v>
                </c:pt>
                <c:pt idx="154">
                  <c:v>181.55195271019295</c:v>
                </c:pt>
                <c:pt idx="155">
                  <c:v>191.21460524830709</c:v>
                </c:pt>
                <c:pt idx="156">
                  <c:v>172.55097160844832</c:v>
                </c:pt>
                <c:pt idx="157">
                  <c:v>171.03762663956456</c:v>
                </c:pt>
                <c:pt idx="158">
                  <c:v>196.72612355582669</c:v>
                </c:pt>
                <c:pt idx="159">
                  <c:v>194.57102486614707</c:v>
                </c:pt>
                <c:pt idx="160">
                  <c:v>184.40075282689932</c:v>
                </c:pt>
                <c:pt idx="161">
                  <c:v>182.55741092991605</c:v>
                </c:pt>
                <c:pt idx="162">
                  <c:v>184.01166063692406</c:v>
                </c:pt>
                <c:pt idx="163">
                  <c:v>183.40704100665667</c:v>
                </c:pt>
                <c:pt idx="164">
                  <c:v>167.23610354364664</c:v>
                </c:pt>
                <c:pt idx="165">
                  <c:v>155.24487691353704</c:v>
                </c:pt>
                <c:pt idx="166">
                  <c:v>163.05178785426529</c:v>
                </c:pt>
                <c:pt idx="167">
                  <c:v>154.46609556691212</c:v>
                </c:pt>
                <c:pt idx="168">
                  <c:v>164.45291641668524</c:v>
                </c:pt>
                <c:pt idx="169">
                  <c:v>186.60990145955603</c:v>
                </c:pt>
                <c:pt idx="170">
                  <c:v>190.35849310592661</c:v>
                </c:pt>
                <c:pt idx="171">
                  <c:v>79.499706633586001</c:v>
                </c:pt>
                <c:pt idx="172">
                  <c:v>76.583379666681182</c:v>
                </c:pt>
                <c:pt idx="173">
                  <c:v>79.518030555501127</c:v>
                </c:pt>
                <c:pt idx="174">
                  <c:v>75.604203631658734</c:v>
                </c:pt>
                <c:pt idx="175">
                  <c:v>74.407673806784956</c:v>
                </c:pt>
                <c:pt idx="176">
                  <c:v>79.523110313406065</c:v>
                </c:pt>
                <c:pt idx="177">
                  <c:v>79.289553765570417</c:v>
                </c:pt>
                <c:pt idx="178">
                  <c:v>123.70070344914825</c:v>
                </c:pt>
                <c:pt idx="179">
                  <c:v>114.12404915323263</c:v>
                </c:pt>
                <c:pt idx="180">
                  <c:v>111.39748063986082</c:v>
                </c:pt>
                <c:pt idx="181">
                  <c:v>113.23747224945129</c:v>
                </c:pt>
                <c:pt idx="182">
                  <c:v>112.38248577857382</c:v>
                </c:pt>
                <c:pt idx="183">
                  <c:v>120.80614611055265</c:v>
                </c:pt>
                <c:pt idx="184">
                  <c:v>119.09426802841969</c:v>
                </c:pt>
                <c:pt idx="185">
                  <c:v>114.19875219955142</c:v>
                </c:pt>
                <c:pt idx="186">
                  <c:v>117.13640331328261</c:v>
                </c:pt>
                <c:pt idx="187">
                  <c:v>110.88572825294507</c:v>
                </c:pt>
                <c:pt idx="188">
                  <c:v>104.08580342279976</c:v>
                </c:pt>
                <c:pt idx="189">
                  <c:v>99.120756213342517</c:v>
                </c:pt>
                <c:pt idx="190">
                  <c:v>93.868606067453769</c:v>
                </c:pt>
                <c:pt idx="191">
                  <c:v>93.684657925996902</c:v>
                </c:pt>
                <c:pt idx="192">
                  <c:v>98.312903225768693</c:v>
                </c:pt>
                <c:pt idx="193">
                  <c:v>89.572241085813147</c:v>
                </c:pt>
                <c:pt idx="194">
                  <c:v>85.549298530724869</c:v>
                </c:pt>
                <c:pt idx="195">
                  <c:v>87.318679425445353</c:v>
                </c:pt>
                <c:pt idx="196">
                  <c:v>103.16651673282129</c:v>
                </c:pt>
                <c:pt idx="197">
                  <c:v>131.73069806177193</c:v>
                </c:pt>
                <c:pt idx="198">
                  <c:v>131.53590596165307</c:v>
                </c:pt>
                <c:pt idx="199">
                  <c:v>125.05063323563755</c:v>
                </c:pt>
                <c:pt idx="200">
                  <c:v>151.27247129705088</c:v>
                </c:pt>
                <c:pt idx="201">
                  <c:v>160.69356807828396</c:v>
                </c:pt>
                <c:pt idx="202">
                  <c:v>178.30725388506315</c:v>
                </c:pt>
                <c:pt idx="203">
                  <c:v>186.7508820992569</c:v>
                </c:pt>
                <c:pt idx="204">
                  <c:v>200.98320114737407</c:v>
                </c:pt>
                <c:pt idx="205">
                  <c:v>196.90405570848165</c:v>
                </c:pt>
                <c:pt idx="206">
                  <c:v>173.25646869951089</c:v>
                </c:pt>
                <c:pt idx="207">
                  <c:v>178.00422269068284</c:v>
                </c:pt>
                <c:pt idx="208">
                  <c:v>201.01970699528508</c:v>
                </c:pt>
                <c:pt idx="209">
                  <c:v>207.0658634342021</c:v>
                </c:pt>
                <c:pt idx="210">
                  <c:v>246.53108975018492</c:v>
                </c:pt>
                <c:pt idx="211">
                  <c:v>403.2254238471167</c:v>
                </c:pt>
                <c:pt idx="212">
                  <c:v>435.03743814150528</c:v>
                </c:pt>
                <c:pt idx="213">
                  <c:v>457.78043284123072</c:v>
                </c:pt>
                <c:pt idx="214">
                  <c:v>410.81997380485632</c:v>
                </c:pt>
                <c:pt idx="215">
                  <c:v>390.50276255909938</c:v>
                </c:pt>
                <c:pt idx="216">
                  <c:v>394.24081631050416</c:v>
                </c:pt>
                <c:pt idx="217">
                  <c:v>354.16982095496661</c:v>
                </c:pt>
                <c:pt idx="218">
                  <c:v>279.28890811636205</c:v>
                </c:pt>
                <c:pt idx="219">
                  <c:v>224.21883966910622</c:v>
                </c:pt>
                <c:pt idx="220">
                  <c:v>238.79007870598301</c:v>
                </c:pt>
                <c:pt idx="221">
                  <c:v>209.78100469960921</c:v>
                </c:pt>
                <c:pt idx="222">
                  <c:v>193.29467063437585</c:v>
                </c:pt>
                <c:pt idx="223">
                  <c:v>167.01513888040384</c:v>
                </c:pt>
                <c:pt idx="224">
                  <c:v>170.91586423310409</c:v>
                </c:pt>
                <c:pt idx="225">
                  <c:v>150.29671075991615</c:v>
                </c:pt>
                <c:pt idx="226">
                  <c:v>141.30932756026505</c:v>
                </c:pt>
                <c:pt idx="227">
                  <c:v>173.9726695933181</c:v>
                </c:pt>
                <c:pt idx="228">
                  <c:v>147.86323021773455</c:v>
                </c:pt>
                <c:pt idx="229">
                  <c:v>114.11313287638956</c:v>
                </c:pt>
                <c:pt idx="230">
                  <c:v>141.54329175301675</c:v>
                </c:pt>
                <c:pt idx="231">
                  <c:v>165.81084286374943</c:v>
                </c:pt>
                <c:pt idx="232">
                  <c:v>169.40488121524203</c:v>
                </c:pt>
                <c:pt idx="233">
                  <c:v>153.17882697507866</c:v>
                </c:pt>
                <c:pt idx="234">
                  <c:v>156.54216064891955</c:v>
                </c:pt>
                <c:pt idx="235">
                  <c:v>151.86864311583051</c:v>
                </c:pt>
                <c:pt idx="236">
                  <c:v>149.33491723560044</c:v>
                </c:pt>
                <c:pt idx="237">
                  <c:v>168.94884544075879</c:v>
                </c:pt>
                <c:pt idx="238">
                  <c:v>175.42509176434552</c:v>
                </c:pt>
                <c:pt idx="239">
                  <c:v>176.22991679446343</c:v>
                </c:pt>
                <c:pt idx="240">
                  <c:v>192.67893555242017</c:v>
                </c:pt>
                <c:pt idx="241">
                  <c:v>189.50453880625096</c:v>
                </c:pt>
                <c:pt idx="242">
                  <c:v>199.08002853848225</c:v>
                </c:pt>
                <c:pt idx="243">
                  <c:v>204.17285372898471</c:v>
                </c:pt>
                <c:pt idx="244">
                  <c:v>200.3823338902904</c:v>
                </c:pt>
                <c:pt idx="245">
                  <c:v>240.93832518663697</c:v>
                </c:pt>
                <c:pt idx="246">
                  <c:v>286.94498386787654</c:v>
                </c:pt>
                <c:pt idx="247">
                  <c:v>307.19604863579224</c:v>
                </c:pt>
                <c:pt idx="248">
                  <c:v>306.09010006496601</c:v>
                </c:pt>
                <c:pt idx="249">
                  <c:v>316.06796614530509</c:v>
                </c:pt>
                <c:pt idx="250">
                  <c:v>320.49920360813837</c:v>
                </c:pt>
                <c:pt idx="251">
                  <c:v>303.93088205370293</c:v>
                </c:pt>
                <c:pt idx="252">
                  <c:v>271.74080353200287</c:v>
                </c:pt>
                <c:pt idx="253">
                  <c:v>277.81302633709851</c:v>
                </c:pt>
                <c:pt idx="254">
                  <c:v>299.36025814514022</c:v>
                </c:pt>
                <c:pt idx="255">
                  <c:v>310.671481104061</c:v>
                </c:pt>
                <c:pt idx="256">
                  <c:v>261.19308073187187</c:v>
                </c:pt>
                <c:pt idx="257">
                  <c:v>229.88081969578835</c:v>
                </c:pt>
                <c:pt idx="258">
                  <c:v>214.90168791535288</c:v>
                </c:pt>
                <c:pt idx="259">
                  <c:v>203.06949708574203</c:v>
                </c:pt>
                <c:pt idx="260">
                  <c:v>209.82625627391511</c:v>
                </c:pt>
                <c:pt idx="261">
                  <c:v>198.49158083246036</c:v>
                </c:pt>
                <c:pt idx="262">
                  <c:v>185.77743803168886</c:v>
                </c:pt>
                <c:pt idx="263">
                  <c:v>200.28442586194285</c:v>
                </c:pt>
                <c:pt idx="264">
                  <c:v>205.59400745995296</c:v>
                </c:pt>
                <c:pt idx="265">
                  <c:v>209.44167858640867</c:v>
                </c:pt>
                <c:pt idx="266">
                  <c:v>201.36904109961742</c:v>
                </c:pt>
                <c:pt idx="267">
                  <c:v>248.98020746501143</c:v>
                </c:pt>
                <c:pt idx="268">
                  <c:v>236.58475507430794</c:v>
                </c:pt>
                <c:pt idx="269">
                  <c:v>242.30839396242345</c:v>
                </c:pt>
                <c:pt idx="270">
                  <c:v>244.13326422342925</c:v>
                </c:pt>
                <c:pt idx="271">
                  <c:v>230.58280476755922</c:v>
                </c:pt>
                <c:pt idx="272">
                  <c:v>228.38237920462191</c:v>
                </c:pt>
                <c:pt idx="273">
                  <c:v>217.8826981041309</c:v>
                </c:pt>
                <c:pt idx="274">
                  <c:v>222.92691083946258</c:v>
                </c:pt>
                <c:pt idx="275">
                  <c:v>229.68451899337103</c:v>
                </c:pt>
                <c:pt idx="276">
                  <c:v>216.16922256533442</c:v>
                </c:pt>
                <c:pt idx="277">
                  <c:v>203.65680466955047</c:v>
                </c:pt>
                <c:pt idx="278">
                  <c:v>195.7982669716074</c:v>
                </c:pt>
                <c:pt idx="279">
                  <c:v>176.70115866814223</c:v>
                </c:pt>
                <c:pt idx="280">
                  <c:v>178.23728015440776</c:v>
                </c:pt>
                <c:pt idx="281">
                  <c:v>190.99613176372512</c:v>
                </c:pt>
                <c:pt idx="282">
                  <c:v>183.91893227642541</c:v>
                </c:pt>
                <c:pt idx="283">
                  <c:v>201.42539736192177</c:v>
                </c:pt>
                <c:pt idx="284">
                  <c:v>198.73624171384495</c:v>
                </c:pt>
                <c:pt idx="285">
                  <c:v>228.52670820686279</c:v>
                </c:pt>
                <c:pt idx="286">
                  <c:v>270.87660207485675</c:v>
                </c:pt>
                <c:pt idx="287">
                  <c:v>258.02995354418482</c:v>
                </c:pt>
                <c:pt idx="288">
                  <c:v>250.64023163483458</c:v>
                </c:pt>
                <c:pt idx="289">
                  <c:v>233.35438721172446</c:v>
                </c:pt>
                <c:pt idx="290">
                  <c:v>224.91231223108937</c:v>
                </c:pt>
                <c:pt idx="291">
                  <c:v>224.85159289093204</c:v>
                </c:pt>
                <c:pt idx="292">
                  <c:v>237.07069946085008</c:v>
                </c:pt>
                <c:pt idx="293">
                  <c:v>252.00397179032132</c:v>
                </c:pt>
                <c:pt idx="294">
                  <c:v>260.3439998564977</c:v>
                </c:pt>
                <c:pt idx="295">
                  <c:v>258.41466332414552</c:v>
                </c:pt>
                <c:pt idx="296">
                  <c:v>239.26822491990498</c:v>
                </c:pt>
                <c:pt idx="297">
                  <c:v>253.90384190970929</c:v>
                </c:pt>
                <c:pt idx="298">
                  <c:v>276.15822139656206</c:v>
                </c:pt>
                <c:pt idx="299">
                  <c:v>291.36525795127341</c:v>
                </c:pt>
                <c:pt idx="300">
                  <c:v>257.8115290948067</c:v>
                </c:pt>
                <c:pt idx="301">
                  <c:v>245.65311184499606</c:v>
                </c:pt>
                <c:pt idx="302">
                  <c:v>243.55861905934492</c:v>
                </c:pt>
                <c:pt idx="303">
                  <c:v>245.42338797821517</c:v>
                </c:pt>
                <c:pt idx="304">
                  <c:v>226.36238614537848</c:v>
                </c:pt>
                <c:pt idx="305">
                  <c:v>207.0975819875398</c:v>
                </c:pt>
                <c:pt idx="306">
                  <c:v>204.19000688024227</c:v>
                </c:pt>
                <c:pt idx="307">
                  <c:v>208.94527914953827</c:v>
                </c:pt>
                <c:pt idx="308">
                  <c:v>216.16972910111846</c:v>
                </c:pt>
                <c:pt idx="309">
                  <c:v>210.77234309127383</c:v>
                </c:pt>
                <c:pt idx="310">
                  <c:v>201.71576926619005</c:v>
                </c:pt>
                <c:pt idx="311">
                  <c:v>191.53074301857842</c:v>
                </c:pt>
                <c:pt idx="312">
                  <c:v>185.35221108089323</c:v>
                </c:pt>
                <c:pt idx="313">
                  <c:v>189.83774005309576</c:v>
                </c:pt>
                <c:pt idx="314">
                  <c:v>185.17453791394823</c:v>
                </c:pt>
                <c:pt idx="315">
                  <c:v>184.68478813301792</c:v>
                </c:pt>
                <c:pt idx="316">
                  <c:v>183.5377518554827</c:v>
                </c:pt>
                <c:pt idx="317">
                  <c:v>185.52442530632572</c:v>
                </c:pt>
                <c:pt idx="318">
                  <c:v>183.19866354800237</c:v>
                </c:pt>
                <c:pt idx="319">
                  <c:v>174.81994318320207</c:v>
                </c:pt>
                <c:pt idx="320">
                  <c:v>179.63660576949493</c:v>
                </c:pt>
                <c:pt idx="321">
                  <c:v>177.96463140737873</c:v>
                </c:pt>
                <c:pt idx="322">
                  <c:v>173.91367520461984</c:v>
                </c:pt>
                <c:pt idx="323">
                  <c:v>181.38973794408039</c:v>
                </c:pt>
                <c:pt idx="324">
                  <c:v>191.88101860103012</c:v>
                </c:pt>
                <c:pt idx="325">
                  <c:v>200.23008386084041</c:v>
                </c:pt>
                <c:pt idx="326">
                  <c:v>212.98203944012886</c:v>
                </c:pt>
                <c:pt idx="327">
                  <c:v>226.33650755158234</c:v>
                </c:pt>
                <c:pt idx="328">
                  <c:v>223.11528207505305</c:v>
                </c:pt>
                <c:pt idx="329">
                  <c:v>226.46876396060969</c:v>
                </c:pt>
                <c:pt idx="330">
                  <c:v>229.28064251243924</c:v>
                </c:pt>
                <c:pt idx="331">
                  <c:v>223.16487750244454</c:v>
                </c:pt>
                <c:pt idx="332">
                  <c:v>232.83768073818982</c:v>
                </c:pt>
                <c:pt idx="333">
                  <c:v>246.73186109658513</c:v>
                </c:pt>
                <c:pt idx="334">
                  <c:v>234.77037714753561</c:v>
                </c:pt>
                <c:pt idx="335">
                  <c:v>222.19933717929152</c:v>
                </c:pt>
                <c:pt idx="336">
                  <c:v>219.78278125562971</c:v>
                </c:pt>
                <c:pt idx="337">
                  <c:v>217.0130059063965</c:v>
                </c:pt>
                <c:pt idx="338">
                  <c:v>223.91819755054229</c:v>
                </c:pt>
                <c:pt idx="339">
                  <c:v>227.22371813767856</c:v>
                </c:pt>
                <c:pt idx="340">
                  <c:v>225.82314775117439</c:v>
                </c:pt>
                <c:pt idx="341">
                  <c:v>254.73099927460277</c:v>
                </c:pt>
                <c:pt idx="342">
                  <c:v>261.70389286919345</c:v>
                </c:pt>
                <c:pt idx="343">
                  <c:v>279.05352744073218</c:v>
                </c:pt>
                <c:pt idx="344">
                  <c:v>265.50247153982855</c:v>
                </c:pt>
                <c:pt idx="345">
                  <c:v>253.18954481407502</c:v>
                </c:pt>
                <c:pt idx="346">
                  <c:v>251.74171226639348</c:v>
                </c:pt>
                <c:pt idx="347">
                  <c:v>250.69061699541842</c:v>
                </c:pt>
                <c:pt idx="348">
                  <c:v>394.70386946766882</c:v>
                </c:pt>
                <c:pt idx="349">
                  <c:v>459.57938951659884</c:v>
                </c:pt>
                <c:pt idx="350">
                  <c:v>436.24213662050443</c:v>
                </c:pt>
                <c:pt idx="351">
                  <c:v>394.69680600211422</c:v>
                </c:pt>
                <c:pt idx="352">
                  <c:v>385.11421822130137</c:v>
                </c:pt>
                <c:pt idx="353">
                  <c:v>367.70488607174059</c:v>
                </c:pt>
                <c:pt idx="354">
                  <c:v>351.98248329249208</c:v>
                </c:pt>
                <c:pt idx="355">
                  <c:v>335.65168977082612</c:v>
                </c:pt>
                <c:pt idx="356">
                  <c:v>309.93720427196638</c:v>
                </c:pt>
                <c:pt idx="357">
                  <c:v>301.68651531022596</c:v>
                </c:pt>
                <c:pt idx="358">
                  <c:v>300.14559064081936</c:v>
                </c:pt>
                <c:pt idx="359">
                  <c:v>296.82425230646282</c:v>
                </c:pt>
                <c:pt idx="360">
                  <c:v>301.00464465488676</c:v>
                </c:pt>
                <c:pt idx="361">
                  <c:v>297.79113526167691</c:v>
                </c:pt>
                <c:pt idx="362">
                  <c:v>293.4079016453598</c:v>
                </c:pt>
                <c:pt idx="363">
                  <c:v>298.29007434757602</c:v>
                </c:pt>
                <c:pt idx="364">
                  <c:v>306.67346463273594</c:v>
                </c:pt>
                <c:pt idx="365">
                  <c:v>312.241699606628</c:v>
                </c:pt>
                <c:pt idx="366">
                  <c:v>313.98919771075441</c:v>
                </c:pt>
                <c:pt idx="367">
                  <c:v>323.9027221689318</c:v>
                </c:pt>
                <c:pt idx="368">
                  <c:v>322.47051539656752</c:v>
                </c:pt>
                <c:pt idx="369">
                  <c:v>357.28843791812818</c:v>
                </c:pt>
                <c:pt idx="370">
                  <c:v>376.0858634468658</c:v>
                </c:pt>
                <c:pt idx="371">
                  <c:v>413.30923377798933</c:v>
                </c:pt>
                <c:pt idx="372">
                  <c:v>652.89774157156376</c:v>
                </c:pt>
                <c:pt idx="373">
                  <c:v>558.62446968788561</c:v>
                </c:pt>
                <c:pt idx="374">
                  <c:v>578.23042300992142</c:v>
                </c:pt>
                <c:pt idx="375">
                  <c:v>586.27721111645053</c:v>
                </c:pt>
                <c:pt idx="376">
                  <c:v>643.86107666141243</c:v>
                </c:pt>
                <c:pt idx="377">
                  <c:v>610.47086247128323</c:v>
                </c:pt>
                <c:pt idx="378">
                  <c:v>630.85994257955724</c:v>
                </c:pt>
                <c:pt idx="379">
                  <c:v>676.30700404652953</c:v>
                </c:pt>
                <c:pt idx="380">
                  <c:v>634.00317864365945</c:v>
                </c:pt>
                <c:pt idx="381">
                  <c:v>597.80502783632505</c:v>
                </c:pt>
                <c:pt idx="382">
                  <c:v>596.57361103134349</c:v>
                </c:pt>
                <c:pt idx="383">
                  <c:v>583.45482808592965</c:v>
                </c:pt>
                <c:pt idx="384">
                  <c:v>606.54145658253276</c:v>
                </c:pt>
              </c:numCache>
            </c:numRef>
          </c:val>
          <c:smooth val="0"/>
          <c:extLst>
            <c:ext xmlns:c16="http://schemas.microsoft.com/office/drawing/2014/chart" uri="{C3380CC4-5D6E-409C-BE32-E72D297353CC}">
              <c16:uniqueId val="{00000000-8793-4045-A82E-D0588E1D2250}"/>
            </c:ext>
          </c:extLst>
        </c:ser>
        <c:dLbls>
          <c:showLegendKey val="0"/>
          <c:showVal val="0"/>
          <c:showCatName val="0"/>
          <c:showSerName val="0"/>
          <c:showPercent val="0"/>
          <c:showBubbleSize val="0"/>
        </c:dLbls>
        <c:marker val="1"/>
        <c:smooth val="0"/>
        <c:axId val="1742840016"/>
        <c:axId val="1904972272"/>
      </c:lineChart>
      <c:lineChart>
        <c:grouping val="standard"/>
        <c:varyColors val="0"/>
        <c:ser>
          <c:idx val="1"/>
          <c:order val="0"/>
          <c:tx>
            <c:v>Advanced economies (right scale)</c:v>
          </c:tx>
          <c:spPr>
            <a:ln w="28575" cap="rnd">
              <a:solidFill>
                <a:srgbClr val="C00000"/>
              </a:solidFill>
              <a:round/>
            </a:ln>
            <a:effectLst/>
          </c:spPr>
          <c:marker>
            <c:symbol val="none"/>
          </c:marker>
          <c:cat>
            <c:numRef>
              <c:extLst>
                <c:ext xmlns:c15="http://schemas.microsoft.com/office/drawing/2012/chart" uri="{02D57815-91ED-43cb-92C2-25804820EDAC}">
                  <c15:fullRef>
                    <c15:sqref>'Figure 1.3'!$A$4:$A$390</c15:sqref>
                  </c15:fullRef>
                </c:ext>
              </c:extLst>
              <c:f>'Figure 1.3'!$A$6:$A$390</c:f>
              <c:numCache>
                <c:formatCode>m/d/yyyy</c:formatCode>
                <c:ptCount val="385"/>
                <c:pt idx="0">
                  <c:v>33298</c:v>
                </c:pt>
                <c:pt idx="1">
                  <c:v>33329</c:v>
                </c:pt>
                <c:pt idx="2">
                  <c:v>33359</c:v>
                </c:pt>
                <c:pt idx="3">
                  <c:v>33390</c:v>
                </c:pt>
                <c:pt idx="4">
                  <c:v>33420</c:v>
                </c:pt>
                <c:pt idx="5">
                  <c:v>33451</c:v>
                </c:pt>
                <c:pt idx="6">
                  <c:v>33482</c:v>
                </c:pt>
                <c:pt idx="7">
                  <c:v>33512</c:v>
                </c:pt>
                <c:pt idx="8">
                  <c:v>33543</c:v>
                </c:pt>
                <c:pt idx="9">
                  <c:v>33573</c:v>
                </c:pt>
                <c:pt idx="10">
                  <c:v>33604</c:v>
                </c:pt>
                <c:pt idx="11">
                  <c:v>33635</c:v>
                </c:pt>
                <c:pt idx="12">
                  <c:v>33664</c:v>
                </c:pt>
                <c:pt idx="13">
                  <c:v>33695</c:v>
                </c:pt>
                <c:pt idx="14">
                  <c:v>33725</c:v>
                </c:pt>
                <c:pt idx="15">
                  <c:v>33756</c:v>
                </c:pt>
                <c:pt idx="16">
                  <c:v>33786</c:v>
                </c:pt>
                <c:pt idx="17">
                  <c:v>33817</c:v>
                </c:pt>
                <c:pt idx="18">
                  <c:v>33848</c:v>
                </c:pt>
                <c:pt idx="19">
                  <c:v>33878</c:v>
                </c:pt>
                <c:pt idx="20">
                  <c:v>33909</c:v>
                </c:pt>
                <c:pt idx="21">
                  <c:v>33939</c:v>
                </c:pt>
                <c:pt idx="22">
                  <c:v>33970</c:v>
                </c:pt>
                <c:pt idx="23">
                  <c:v>34001</c:v>
                </c:pt>
                <c:pt idx="24">
                  <c:v>34029</c:v>
                </c:pt>
                <c:pt idx="25">
                  <c:v>34060</c:v>
                </c:pt>
                <c:pt idx="26">
                  <c:v>34090</c:v>
                </c:pt>
                <c:pt idx="27">
                  <c:v>34121</c:v>
                </c:pt>
                <c:pt idx="28">
                  <c:v>34151</c:v>
                </c:pt>
                <c:pt idx="29">
                  <c:v>34182</c:v>
                </c:pt>
                <c:pt idx="30">
                  <c:v>34213</c:v>
                </c:pt>
                <c:pt idx="31">
                  <c:v>34243</c:v>
                </c:pt>
                <c:pt idx="32">
                  <c:v>34274</c:v>
                </c:pt>
                <c:pt idx="33">
                  <c:v>34304</c:v>
                </c:pt>
                <c:pt idx="34">
                  <c:v>34335</c:v>
                </c:pt>
                <c:pt idx="35">
                  <c:v>34366</c:v>
                </c:pt>
                <c:pt idx="36">
                  <c:v>34394</c:v>
                </c:pt>
                <c:pt idx="37">
                  <c:v>34425</c:v>
                </c:pt>
                <c:pt idx="38">
                  <c:v>34455</c:v>
                </c:pt>
                <c:pt idx="39">
                  <c:v>34486</c:v>
                </c:pt>
                <c:pt idx="40">
                  <c:v>34516</c:v>
                </c:pt>
                <c:pt idx="41">
                  <c:v>34547</c:v>
                </c:pt>
                <c:pt idx="42">
                  <c:v>34578</c:v>
                </c:pt>
                <c:pt idx="43">
                  <c:v>34608</c:v>
                </c:pt>
                <c:pt idx="44">
                  <c:v>34639</c:v>
                </c:pt>
                <c:pt idx="45">
                  <c:v>34669</c:v>
                </c:pt>
                <c:pt idx="46">
                  <c:v>34700</c:v>
                </c:pt>
                <c:pt idx="47">
                  <c:v>34731</c:v>
                </c:pt>
                <c:pt idx="48">
                  <c:v>34759</c:v>
                </c:pt>
                <c:pt idx="49">
                  <c:v>34790</c:v>
                </c:pt>
                <c:pt idx="50">
                  <c:v>34820</c:v>
                </c:pt>
                <c:pt idx="51">
                  <c:v>34851</c:v>
                </c:pt>
                <c:pt idx="52">
                  <c:v>34881</c:v>
                </c:pt>
                <c:pt idx="53">
                  <c:v>34912</c:v>
                </c:pt>
                <c:pt idx="54">
                  <c:v>34943</c:v>
                </c:pt>
                <c:pt idx="55">
                  <c:v>34973</c:v>
                </c:pt>
                <c:pt idx="56">
                  <c:v>35004</c:v>
                </c:pt>
                <c:pt idx="57">
                  <c:v>35034</c:v>
                </c:pt>
                <c:pt idx="58">
                  <c:v>35065</c:v>
                </c:pt>
                <c:pt idx="59">
                  <c:v>35096</c:v>
                </c:pt>
                <c:pt idx="60">
                  <c:v>35125</c:v>
                </c:pt>
                <c:pt idx="61">
                  <c:v>35156</c:v>
                </c:pt>
                <c:pt idx="62">
                  <c:v>35186</c:v>
                </c:pt>
                <c:pt idx="63">
                  <c:v>35217</c:v>
                </c:pt>
                <c:pt idx="64">
                  <c:v>35247</c:v>
                </c:pt>
                <c:pt idx="65">
                  <c:v>35278</c:v>
                </c:pt>
                <c:pt idx="66">
                  <c:v>35309</c:v>
                </c:pt>
                <c:pt idx="67">
                  <c:v>35339</c:v>
                </c:pt>
                <c:pt idx="68">
                  <c:v>35370</c:v>
                </c:pt>
                <c:pt idx="69">
                  <c:v>35400</c:v>
                </c:pt>
                <c:pt idx="70">
                  <c:v>35431</c:v>
                </c:pt>
                <c:pt idx="71">
                  <c:v>35462</c:v>
                </c:pt>
                <c:pt idx="72">
                  <c:v>35490</c:v>
                </c:pt>
                <c:pt idx="73">
                  <c:v>35521</c:v>
                </c:pt>
                <c:pt idx="74">
                  <c:v>35551</c:v>
                </c:pt>
                <c:pt idx="75">
                  <c:v>35582</c:v>
                </c:pt>
                <c:pt idx="76">
                  <c:v>35612</c:v>
                </c:pt>
                <c:pt idx="77">
                  <c:v>35643</c:v>
                </c:pt>
                <c:pt idx="78">
                  <c:v>35674</c:v>
                </c:pt>
                <c:pt idx="79">
                  <c:v>35704</c:v>
                </c:pt>
                <c:pt idx="80">
                  <c:v>35735</c:v>
                </c:pt>
                <c:pt idx="81">
                  <c:v>35765</c:v>
                </c:pt>
                <c:pt idx="82">
                  <c:v>35796</c:v>
                </c:pt>
                <c:pt idx="83">
                  <c:v>35827</c:v>
                </c:pt>
                <c:pt idx="84">
                  <c:v>35855</c:v>
                </c:pt>
                <c:pt idx="85">
                  <c:v>35886</c:v>
                </c:pt>
                <c:pt idx="86">
                  <c:v>35916</c:v>
                </c:pt>
                <c:pt idx="87">
                  <c:v>35947</c:v>
                </c:pt>
                <c:pt idx="88">
                  <c:v>35977</c:v>
                </c:pt>
                <c:pt idx="89">
                  <c:v>36008</c:v>
                </c:pt>
                <c:pt idx="90">
                  <c:v>36039</c:v>
                </c:pt>
                <c:pt idx="91">
                  <c:v>36069</c:v>
                </c:pt>
                <c:pt idx="92">
                  <c:v>36100</c:v>
                </c:pt>
                <c:pt idx="93">
                  <c:v>36130</c:v>
                </c:pt>
                <c:pt idx="94">
                  <c:v>36161</c:v>
                </c:pt>
                <c:pt idx="95">
                  <c:v>36192</c:v>
                </c:pt>
                <c:pt idx="96">
                  <c:v>36220</c:v>
                </c:pt>
                <c:pt idx="97">
                  <c:v>36251</c:v>
                </c:pt>
                <c:pt idx="98">
                  <c:v>36281</c:v>
                </c:pt>
                <c:pt idx="99">
                  <c:v>36312</c:v>
                </c:pt>
                <c:pt idx="100">
                  <c:v>36342</c:v>
                </c:pt>
                <c:pt idx="101">
                  <c:v>36373</c:v>
                </c:pt>
                <c:pt idx="102">
                  <c:v>36404</c:v>
                </c:pt>
                <c:pt idx="103">
                  <c:v>36434</c:v>
                </c:pt>
                <c:pt idx="104">
                  <c:v>36465</c:v>
                </c:pt>
                <c:pt idx="105">
                  <c:v>36495</c:v>
                </c:pt>
                <c:pt idx="106">
                  <c:v>36526</c:v>
                </c:pt>
                <c:pt idx="107">
                  <c:v>36557</c:v>
                </c:pt>
                <c:pt idx="108">
                  <c:v>36586</c:v>
                </c:pt>
                <c:pt idx="109">
                  <c:v>36617</c:v>
                </c:pt>
                <c:pt idx="110">
                  <c:v>36647</c:v>
                </c:pt>
                <c:pt idx="111">
                  <c:v>36678</c:v>
                </c:pt>
                <c:pt idx="112">
                  <c:v>36708</c:v>
                </c:pt>
                <c:pt idx="113">
                  <c:v>36739</c:v>
                </c:pt>
                <c:pt idx="114">
                  <c:v>36770</c:v>
                </c:pt>
                <c:pt idx="115">
                  <c:v>36800</c:v>
                </c:pt>
                <c:pt idx="116">
                  <c:v>36831</c:v>
                </c:pt>
                <c:pt idx="117">
                  <c:v>36861</c:v>
                </c:pt>
                <c:pt idx="118">
                  <c:v>36892</c:v>
                </c:pt>
                <c:pt idx="119">
                  <c:v>36923</c:v>
                </c:pt>
                <c:pt idx="120">
                  <c:v>36951</c:v>
                </c:pt>
                <c:pt idx="121">
                  <c:v>36982</c:v>
                </c:pt>
                <c:pt idx="122">
                  <c:v>37012</c:v>
                </c:pt>
                <c:pt idx="123">
                  <c:v>37043</c:v>
                </c:pt>
                <c:pt idx="124">
                  <c:v>37073</c:v>
                </c:pt>
                <c:pt idx="125">
                  <c:v>37104</c:v>
                </c:pt>
                <c:pt idx="126">
                  <c:v>37135</c:v>
                </c:pt>
                <c:pt idx="127">
                  <c:v>37165</c:v>
                </c:pt>
                <c:pt idx="128">
                  <c:v>37196</c:v>
                </c:pt>
                <c:pt idx="129">
                  <c:v>37226</c:v>
                </c:pt>
                <c:pt idx="130">
                  <c:v>37257</c:v>
                </c:pt>
                <c:pt idx="131">
                  <c:v>37288</c:v>
                </c:pt>
                <c:pt idx="132">
                  <c:v>37316</c:v>
                </c:pt>
                <c:pt idx="133">
                  <c:v>37347</c:v>
                </c:pt>
                <c:pt idx="134">
                  <c:v>37377</c:v>
                </c:pt>
                <c:pt idx="135">
                  <c:v>37408</c:v>
                </c:pt>
                <c:pt idx="136">
                  <c:v>37438</c:v>
                </c:pt>
                <c:pt idx="137">
                  <c:v>37469</c:v>
                </c:pt>
                <c:pt idx="138">
                  <c:v>37500</c:v>
                </c:pt>
                <c:pt idx="139">
                  <c:v>37530</c:v>
                </c:pt>
                <c:pt idx="140">
                  <c:v>37561</c:v>
                </c:pt>
                <c:pt idx="141">
                  <c:v>37591</c:v>
                </c:pt>
                <c:pt idx="142">
                  <c:v>37622</c:v>
                </c:pt>
                <c:pt idx="143">
                  <c:v>37653</c:v>
                </c:pt>
                <c:pt idx="144">
                  <c:v>37681</c:v>
                </c:pt>
                <c:pt idx="145">
                  <c:v>37712</c:v>
                </c:pt>
                <c:pt idx="146">
                  <c:v>37742</c:v>
                </c:pt>
                <c:pt idx="147">
                  <c:v>37773</c:v>
                </c:pt>
                <c:pt idx="148">
                  <c:v>37803</c:v>
                </c:pt>
                <c:pt idx="149">
                  <c:v>37834</c:v>
                </c:pt>
                <c:pt idx="150">
                  <c:v>37865</c:v>
                </c:pt>
                <c:pt idx="151">
                  <c:v>37895</c:v>
                </c:pt>
                <c:pt idx="152">
                  <c:v>37926</c:v>
                </c:pt>
                <c:pt idx="153">
                  <c:v>37956</c:v>
                </c:pt>
                <c:pt idx="154">
                  <c:v>37987</c:v>
                </c:pt>
                <c:pt idx="155">
                  <c:v>38018</c:v>
                </c:pt>
                <c:pt idx="156">
                  <c:v>38047</c:v>
                </c:pt>
                <c:pt idx="157">
                  <c:v>38078</c:v>
                </c:pt>
                <c:pt idx="158">
                  <c:v>38108</c:v>
                </c:pt>
                <c:pt idx="159">
                  <c:v>38139</c:v>
                </c:pt>
                <c:pt idx="160">
                  <c:v>38169</c:v>
                </c:pt>
                <c:pt idx="161">
                  <c:v>38200</c:v>
                </c:pt>
                <c:pt idx="162">
                  <c:v>38231</c:v>
                </c:pt>
                <c:pt idx="163">
                  <c:v>38261</c:v>
                </c:pt>
                <c:pt idx="164">
                  <c:v>38292</c:v>
                </c:pt>
                <c:pt idx="165">
                  <c:v>38322</c:v>
                </c:pt>
                <c:pt idx="166">
                  <c:v>38353</c:v>
                </c:pt>
                <c:pt idx="167">
                  <c:v>38384</c:v>
                </c:pt>
                <c:pt idx="168">
                  <c:v>38412</c:v>
                </c:pt>
                <c:pt idx="169">
                  <c:v>38443</c:v>
                </c:pt>
                <c:pt idx="170">
                  <c:v>38473</c:v>
                </c:pt>
                <c:pt idx="171">
                  <c:v>38504</c:v>
                </c:pt>
                <c:pt idx="172">
                  <c:v>38534</c:v>
                </c:pt>
                <c:pt idx="173">
                  <c:v>38565</c:v>
                </c:pt>
                <c:pt idx="174">
                  <c:v>38596</c:v>
                </c:pt>
                <c:pt idx="175">
                  <c:v>38626</c:v>
                </c:pt>
                <c:pt idx="176">
                  <c:v>38657</c:v>
                </c:pt>
                <c:pt idx="177">
                  <c:v>38687</c:v>
                </c:pt>
                <c:pt idx="178">
                  <c:v>38718</c:v>
                </c:pt>
                <c:pt idx="179">
                  <c:v>38749</c:v>
                </c:pt>
                <c:pt idx="180">
                  <c:v>38777</c:v>
                </c:pt>
                <c:pt idx="181">
                  <c:v>38808</c:v>
                </c:pt>
                <c:pt idx="182">
                  <c:v>38838</c:v>
                </c:pt>
                <c:pt idx="183">
                  <c:v>38869</c:v>
                </c:pt>
                <c:pt idx="184">
                  <c:v>38899</c:v>
                </c:pt>
                <c:pt idx="185">
                  <c:v>38930</c:v>
                </c:pt>
                <c:pt idx="186">
                  <c:v>38961</c:v>
                </c:pt>
                <c:pt idx="187">
                  <c:v>38991</c:v>
                </c:pt>
                <c:pt idx="188">
                  <c:v>39022</c:v>
                </c:pt>
                <c:pt idx="189">
                  <c:v>39052</c:v>
                </c:pt>
                <c:pt idx="190">
                  <c:v>39083</c:v>
                </c:pt>
                <c:pt idx="191">
                  <c:v>39114</c:v>
                </c:pt>
                <c:pt idx="192">
                  <c:v>39142</c:v>
                </c:pt>
                <c:pt idx="193">
                  <c:v>39173</c:v>
                </c:pt>
                <c:pt idx="194">
                  <c:v>39203</c:v>
                </c:pt>
                <c:pt idx="195">
                  <c:v>39234</c:v>
                </c:pt>
                <c:pt idx="196">
                  <c:v>39264</c:v>
                </c:pt>
                <c:pt idx="197">
                  <c:v>39295</c:v>
                </c:pt>
                <c:pt idx="198">
                  <c:v>39326</c:v>
                </c:pt>
                <c:pt idx="199">
                  <c:v>39356</c:v>
                </c:pt>
                <c:pt idx="200">
                  <c:v>39387</c:v>
                </c:pt>
                <c:pt idx="201">
                  <c:v>39417</c:v>
                </c:pt>
                <c:pt idx="202">
                  <c:v>39448</c:v>
                </c:pt>
                <c:pt idx="203">
                  <c:v>39479</c:v>
                </c:pt>
                <c:pt idx="204">
                  <c:v>39508</c:v>
                </c:pt>
                <c:pt idx="205">
                  <c:v>39539</c:v>
                </c:pt>
                <c:pt idx="206">
                  <c:v>39569</c:v>
                </c:pt>
                <c:pt idx="207">
                  <c:v>39600</c:v>
                </c:pt>
                <c:pt idx="208">
                  <c:v>39630</c:v>
                </c:pt>
                <c:pt idx="209">
                  <c:v>39661</c:v>
                </c:pt>
                <c:pt idx="210">
                  <c:v>39692</c:v>
                </c:pt>
                <c:pt idx="211">
                  <c:v>39722</c:v>
                </c:pt>
                <c:pt idx="212">
                  <c:v>39753</c:v>
                </c:pt>
                <c:pt idx="213">
                  <c:v>39783</c:v>
                </c:pt>
                <c:pt idx="214">
                  <c:v>39814</c:v>
                </c:pt>
                <c:pt idx="215">
                  <c:v>39845</c:v>
                </c:pt>
                <c:pt idx="216">
                  <c:v>39873</c:v>
                </c:pt>
                <c:pt idx="217">
                  <c:v>39904</c:v>
                </c:pt>
                <c:pt idx="218">
                  <c:v>39934</c:v>
                </c:pt>
                <c:pt idx="219">
                  <c:v>39965</c:v>
                </c:pt>
                <c:pt idx="220">
                  <c:v>39995</c:v>
                </c:pt>
                <c:pt idx="221">
                  <c:v>40026</c:v>
                </c:pt>
                <c:pt idx="222">
                  <c:v>40057</c:v>
                </c:pt>
                <c:pt idx="223">
                  <c:v>40087</c:v>
                </c:pt>
                <c:pt idx="224">
                  <c:v>40118</c:v>
                </c:pt>
                <c:pt idx="225">
                  <c:v>40148</c:v>
                </c:pt>
                <c:pt idx="226">
                  <c:v>40179</c:v>
                </c:pt>
                <c:pt idx="227">
                  <c:v>40210</c:v>
                </c:pt>
                <c:pt idx="228">
                  <c:v>40238</c:v>
                </c:pt>
                <c:pt idx="229">
                  <c:v>40269</c:v>
                </c:pt>
                <c:pt idx="230">
                  <c:v>40299</c:v>
                </c:pt>
                <c:pt idx="231">
                  <c:v>40330</c:v>
                </c:pt>
                <c:pt idx="232">
                  <c:v>40360</c:v>
                </c:pt>
                <c:pt idx="233">
                  <c:v>40391</c:v>
                </c:pt>
                <c:pt idx="234">
                  <c:v>40422</c:v>
                </c:pt>
                <c:pt idx="235">
                  <c:v>40452</c:v>
                </c:pt>
                <c:pt idx="236">
                  <c:v>40483</c:v>
                </c:pt>
                <c:pt idx="237">
                  <c:v>40513</c:v>
                </c:pt>
                <c:pt idx="238">
                  <c:v>40544</c:v>
                </c:pt>
                <c:pt idx="239">
                  <c:v>40575</c:v>
                </c:pt>
                <c:pt idx="240">
                  <c:v>40603</c:v>
                </c:pt>
                <c:pt idx="241">
                  <c:v>40634</c:v>
                </c:pt>
                <c:pt idx="242">
                  <c:v>40664</c:v>
                </c:pt>
                <c:pt idx="243">
                  <c:v>40695</c:v>
                </c:pt>
                <c:pt idx="244">
                  <c:v>40725</c:v>
                </c:pt>
                <c:pt idx="245">
                  <c:v>40756</c:v>
                </c:pt>
                <c:pt idx="246">
                  <c:v>40787</c:v>
                </c:pt>
                <c:pt idx="247">
                  <c:v>40817</c:v>
                </c:pt>
                <c:pt idx="248">
                  <c:v>40848</c:v>
                </c:pt>
                <c:pt idx="249">
                  <c:v>40878</c:v>
                </c:pt>
                <c:pt idx="250">
                  <c:v>40909</c:v>
                </c:pt>
                <c:pt idx="251">
                  <c:v>40940</c:v>
                </c:pt>
                <c:pt idx="252">
                  <c:v>40969</c:v>
                </c:pt>
                <c:pt idx="253">
                  <c:v>41000</c:v>
                </c:pt>
                <c:pt idx="254">
                  <c:v>41030</c:v>
                </c:pt>
                <c:pt idx="255">
                  <c:v>41061</c:v>
                </c:pt>
                <c:pt idx="256">
                  <c:v>41091</c:v>
                </c:pt>
                <c:pt idx="257">
                  <c:v>41122</c:v>
                </c:pt>
                <c:pt idx="258">
                  <c:v>41153</c:v>
                </c:pt>
                <c:pt idx="259">
                  <c:v>41183</c:v>
                </c:pt>
                <c:pt idx="260">
                  <c:v>41214</c:v>
                </c:pt>
                <c:pt idx="261">
                  <c:v>41244</c:v>
                </c:pt>
                <c:pt idx="262">
                  <c:v>41275</c:v>
                </c:pt>
                <c:pt idx="263">
                  <c:v>41306</c:v>
                </c:pt>
                <c:pt idx="264">
                  <c:v>41334</c:v>
                </c:pt>
                <c:pt idx="265">
                  <c:v>41365</c:v>
                </c:pt>
                <c:pt idx="266">
                  <c:v>41395</c:v>
                </c:pt>
                <c:pt idx="267">
                  <c:v>41426</c:v>
                </c:pt>
                <c:pt idx="268">
                  <c:v>41456</c:v>
                </c:pt>
                <c:pt idx="269">
                  <c:v>41487</c:v>
                </c:pt>
                <c:pt idx="270">
                  <c:v>41518</c:v>
                </c:pt>
                <c:pt idx="271">
                  <c:v>41548</c:v>
                </c:pt>
                <c:pt idx="272">
                  <c:v>41579</c:v>
                </c:pt>
                <c:pt idx="273">
                  <c:v>41609</c:v>
                </c:pt>
                <c:pt idx="274">
                  <c:v>41640</c:v>
                </c:pt>
                <c:pt idx="275">
                  <c:v>41671</c:v>
                </c:pt>
                <c:pt idx="276">
                  <c:v>41699</c:v>
                </c:pt>
                <c:pt idx="277">
                  <c:v>41730</c:v>
                </c:pt>
                <c:pt idx="278">
                  <c:v>41760</c:v>
                </c:pt>
                <c:pt idx="279">
                  <c:v>41791</c:v>
                </c:pt>
                <c:pt idx="280">
                  <c:v>41821</c:v>
                </c:pt>
                <c:pt idx="281">
                  <c:v>41852</c:v>
                </c:pt>
                <c:pt idx="282">
                  <c:v>41883</c:v>
                </c:pt>
                <c:pt idx="283">
                  <c:v>41913</c:v>
                </c:pt>
                <c:pt idx="284">
                  <c:v>41944</c:v>
                </c:pt>
                <c:pt idx="285">
                  <c:v>41974</c:v>
                </c:pt>
                <c:pt idx="286">
                  <c:v>42005</c:v>
                </c:pt>
                <c:pt idx="287">
                  <c:v>42036</c:v>
                </c:pt>
                <c:pt idx="288">
                  <c:v>42064</c:v>
                </c:pt>
                <c:pt idx="289">
                  <c:v>42095</c:v>
                </c:pt>
                <c:pt idx="290">
                  <c:v>42125</c:v>
                </c:pt>
                <c:pt idx="291">
                  <c:v>42156</c:v>
                </c:pt>
                <c:pt idx="292">
                  <c:v>42186</c:v>
                </c:pt>
                <c:pt idx="293">
                  <c:v>42217</c:v>
                </c:pt>
                <c:pt idx="294">
                  <c:v>42248</c:v>
                </c:pt>
                <c:pt idx="295">
                  <c:v>42278</c:v>
                </c:pt>
                <c:pt idx="296">
                  <c:v>42309</c:v>
                </c:pt>
                <c:pt idx="297">
                  <c:v>42339</c:v>
                </c:pt>
                <c:pt idx="298">
                  <c:v>42370</c:v>
                </c:pt>
                <c:pt idx="299">
                  <c:v>42401</c:v>
                </c:pt>
                <c:pt idx="300">
                  <c:v>42430</c:v>
                </c:pt>
                <c:pt idx="301">
                  <c:v>42461</c:v>
                </c:pt>
                <c:pt idx="302">
                  <c:v>42491</c:v>
                </c:pt>
                <c:pt idx="303">
                  <c:v>42522</c:v>
                </c:pt>
                <c:pt idx="304">
                  <c:v>42552</c:v>
                </c:pt>
                <c:pt idx="305">
                  <c:v>42583</c:v>
                </c:pt>
                <c:pt idx="306">
                  <c:v>42614</c:v>
                </c:pt>
                <c:pt idx="307">
                  <c:v>42644</c:v>
                </c:pt>
                <c:pt idx="308">
                  <c:v>42675</c:v>
                </c:pt>
                <c:pt idx="309">
                  <c:v>42705</c:v>
                </c:pt>
                <c:pt idx="310">
                  <c:v>42736</c:v>
                </c:pt>
                <c:pt idx="311">
                  <c:v>42767</c:v>
                </c:pt>
                <c:pt idx="312">
                  <c:v>42795</c:v>
                </c:pt>
                <c:pt idx="313">
                  <c:v>42826</c:v>
                </c:pt>
                <c:pt idx="314">
                  <c:v>42856</c:v>
                </c:pt>
                <c:pt idx="315">
                  <c:v>42887</c:v>
                </c:pt>
                <c:pt idx="316">
                  <c:v>42917</c:v>
                </c:pt>
                <c:pt idx="317">
                  <c:v>42948</c:v>
                </c:pt>
                <c:pt idx="318">
                  <c:v>42979</c:v>
                </c:pt>
                <c:pt idx="319">
                  <c:v>43009</c:v>
                </c:pt>
                <c:pt idx="320">
                  <c:v>43040</c:v>
                </c:pt>
                <c:pt idx="321">
                  <c:v>43070</c:v>
                </c:pt>
                <c:pt idx="322">
                  <c:v>43101</c:v>
                </c:pt>
                <c:pt idx="323">
                  <c:v>43132</c:v>
                </c:pt>
                <c:pt idx="324">
                  <c:v>43160</c:v>
                </c:pt>
                <c:pt idx="325">
                  <c:v>43191</c:v>
                </c:pt>
                <c:pt idx="326">
                  <c:v>43221</c:v>
                </c:pt>
                <c:pt idx="327">
                  <c:v>43252</c:v>
                </c:pt>
                <c:pt idx="328">
                  <c:v>43282</c:v>
                </c:pt>
                <c:pt idx="329">
                  <c:v>43313</c:v>
                </c:pt>
                <c:pt idx="330">
                  <c:v>43344</c:v>
                </c:pt>
                <c:pt idx="331">
                  <c:v>43374</c:v>
                </c:pt>
                <c:pt idx="332">
                  <c:v>43405</c:v>
                </c:pt>
                <c:pt idx="333">
                  <c:v>43435</c:v>
                </c:pt>
                <c:pt idx="334">
                  <c:v>43466</c:v>
                </c:pt>
                <c:pt idx="335">
                  <c:v>43497</c:v>
                </c:pt>
                <c:pt idx="336">
                  <c:v>43525</c:v>
                </c:pt>
                <c:pt idx="337">
                  <c:v>43556</c:v>
                </c:pt>
                <c:pt idx="338">
                  <c:v>43586</c:v>
                </c:pt>
                <c:pt idx="339">
                  <c:v>43617</c:v>
                </c:pt>
                <c:pt idx="340">
                  <c:v>43647</c:v>
                </c:pt>
                <c:pt idx="341">
                  <c:v>43678</c:v>
                </c:pt>
                <c:pt idx="342">
                  <c:v>43709</c:v>
                </c:pt>
                <c:pt idx="343">
                  <c:v>43739</c:v>
                </c:pt>
                <c:pt idx="344">
                  <c:v>43770</c:v>
                </c:pt>
                <c:pt idx="345">
                  <c:v>43800</c:v>
                </c:pt>
                <c:pt idx="346">
                  <c:v>43831</c:v>
                </c:pt>
                <c:pt idx="347">
                  <c:v>43862</c:v>
                </c:pt>
                <c:pt idx="348">
                  <c:v>43891</c:v>
                </c:pt>
                <c:pt idx="349">
                  <c:v>43922</c:v>
                </c:pt>
                <c:pt idx="350">
                  <c:v>43952</c:v>
                </c:pt>
                <c:pt idx="351">
                  <c:v>43983</c:v>
                </c:pt>
                <c:pt idx="352">
                  <c:v>44013</c:v>
                </c:pt>
                <c:pt idx="353">
                  <c:v>44044</c:v>
                </c:pt>
                <c:pt idx="354">
                  <c:v>44075</c:v>
                </c:pt>
                <c:pt idx="355">
                  <c:v>44105</c:v>
                </c:pt>
                <c:pt idx="356">
                  <c:v>44136</c:v>
                </c:pt>
                <c:pt idx="357">
                  <c:v>44166</c:v>
                </c:pt>
                <c:pt idx="358">
                  <c:v>44197</c:v>
                </c:pt>
                <c:pt idx="359">
                  <c:v>44228</c:v>
                </c:pt>
                <c:pt idx="360">
                  <c:v>44256</c:v>
                </c:pt>
                <c:pt idx="361">
                  <c:v>44287</c:v>
                </c:pt>
                <c:pt idx="362">
                  <c:v>44317</c:v>
                </c:pt>
                <c:pt idx="363">
                  <c:v>44348</c:v>
                </c:pt>
                <c:pt idx="364">
                  <c:v>44378</c:v>
                </c:pt>
                <c:pt idx="365">
                  <c:v>44409</c:v>
                </c:pt>
                <c:pt idx="366">
                  <c:v>44440</c:v>
                </c:pt>
                <c:pt idx="367">
                  <c:v>44470</c:v>
                </c:pt>
                <c:pt idx="368">
                  <c:v>44501</c:v>
                </c:pt>
                <c:pt idx="369">
                  <c:v>44531</c:v>
                </c:pt>
                <c:pt idx="370">
                  <c:v>44562</c:v>
                </c:pt>
                <c:pt idx="371">
                  <c:v>44593</c:v>
                </c:pt>
                <c:pt idx="372">
                  <c:v>44621</c:v>
                </c:pt>
                <c:pt idx="373">
                  <c:v>44652</c:v>
                </c:pt>
                <c:pt idx="374">
                  <c:v>44682</c:v>
                </c:pt>
                <c:pt idx="375">
                  <c:v>44713</c:v>
                </c:pt>
                <c:pt idx="376">
                  <c:v>44743</c:v>
                </c:pt>
                <c:pt idx="377">
                  <c:v>44774</c:v>
                </c:pt>
                <c:pt idx="378">
                  <c:v>44805</c:v>
                </c:pt>
                <c:pt idx="379">
                  <c:v>44835</c:v>
                </c:pt>
                <c:pt idx="380">
                  <c:v>44866</c:v>
                </c:pt>
                <c:pt idx="381">
                  <c:v>44896</c:v>
                </c:pt>
                <c:pt idx="382">
                  <c:v>44927</c:v>
                </c:pt>
                <c:pt idx="383">
                  <c:v>44958</c:v>
                </c:pt>
                <c:pt idx="384">
                  <c:v>44986</c:v>
                </c:pt>
              </c:numCache>
            </c:numRef>
          </c:cat>
          <c:val>
            <c:numRef>
              <c:extLst>
                <c:ext xmlns:c15="http://schemas.microsoft.com/office/drawing/2012/chart" uri="{02D57815-91ED-43cb-92C2-25804820EDAC}">
                  <c15:fullRef>
                    <c15:sqref>'Figure 1.3'!$C$4:$C$390</c15:sqref>
                  </c15:fullRef>
                </c:ext>
              </c:extLst>
              <c:f>'Figure 1.3'!$C$6:$C$390</c:f>
              <c:numCache>
                <c:formatCode>General</c:formatCode>
                <c:ptCount val="385"/>
                <c:pt idx="0">
                  <c:v>1.4425394136064287</c:v>
                </c:pt>
                <c:pt idx="1">
                  <c:v>1.3907121524535402</c:v>
                </c:pt>
                <c:pt idx="2">
                  <c:v>1.2699589414378885</c:v>
                </c:pt>
                <c:pt idx="3">
                  <c:v>1.3041790711600456</c:v>
                </c:pt>
                <c:pt idx="4">
                  <c:v>1.1960864508685141</c:v>
                </c:pt>
                <c:pt idx="5">
                  <c:v>1.2429448080414331</c:v>
                </c:pt>
                <c:pt idx="6">
                  <c:v>1.1576218004215415</c:v>
                </c:pt>
                <c:pt idx="7">
                  <c:v>1.1030812314576131</c:v>
                </c:pt>
                <c:pt idx="8">
                  <c:v>1.2373244573927953</c:v>
                </c:pt>
                <c:pt idx="9">
                  <c:v>1.4439023561262243</c:v>
                </c:pt>
                <c:pt idx="10">
                  <c:v>1.1474077053496783</c:v>
                </c:pt>
                <c:pt idx="11">
                  <c:v>1.1569746084477099</c:v>
                </c:pt>
                <c:pt idx="12">
                  <c:v>1.1615455444094818</c:v>
                </c:pt>
                <c:pt idx="13">
                  <c:v>1.0563060589509512</c:v>
                </c:pt>
                <c:pt idx="14">
                  <c:v>1.0418937051659531</c:v>
                </c:pt>
                <c:pt idx="15">
                  <c:v>1.1873561025841668</c:v>
                </c:pt>
                <c:pt idx="16">
                  <c:v>1.355192297566143</c:v>
                </c:pt>
                <c:pt idx="17">
                  <c:v>1.6692450611689895</c:v>
                </c:pt>
                <c:pt idx="18">
                  <c:v>2.0324599927746294</c:v>
                </c:pt>
                <c:pt idx="19">
                  <c:v>1.5293035940908926</c:v>
                </c:pt>
                <c:pt idx="20">
                  <c:v>1.5730547996626065</c:v>
                </c:pt>
                <c:pt idx="21">
                  <c:v>1.5820564931119281</c:v>
                </c:pt>
                <c:pt idx="22">
                  <c:v>1.6259628558205239</c:v>
                </c:pt>
                <c:pt idx="23">
                  <c:v>1.5774849620445577</c:v>
                </c:pt>
                <c:pt idx="24">
                  <c:v>1.5907936784597696</c:v>
                </c:pt>
                <c:pt idx="25">
                  <c:v>1.5210434450879251</c:v>
                </c:pt>
                <c:pt idx="26">
                  <c:v>1.3109564155070377</c:v>
                </c:pt>
                <c:pt idx="27">
                  <c:v>1.1750789153394854</c:v>
                </c:pt>
                <c:pt idx="28">
                  <c:v>0.97879942743133919</c:v>
                </c:pt>
                <c:pt idx="29">
                  <c:v>0.853779771223378</c:v>
                </c:pt>
                <c:pt idx="30">
                  <c:v>0.89192980413510925</c:v>
                </c:pt>
                <c:pt idx="31">
                  <c:v>0.78105738109592615</c:v>
                </c:pt>
                <c:pt idx="32">
                  <c:v>0.62409688041161626</c:v>
                </c:pt>
                <c:pt idx="33">
                  <c:v>0.43448034734219559</c:v>
                </c:pt>
                <c:pt idx="34">
                  <c:v>0.42285416942810122</c:v>
                </c:pt>
                <c:pt idx="35">
                  <c:v>0.48908740074545914</c:v>
                </c:pt>
                <c:pt idx="36">
                  <c:v>0.53834645477683563</c:v>
                </c:pt>
                <c:pt idx="37">
                  <c:v>0.55927657367678629</c:v>
                </c:pt>
                <c:pt idx="38">
                  <c:v>0.6840186374654913</c:v>
                </c:pt>
                <c:pt idx="39">
                  <c:v>0.92947442489532528</c:v>
                </c:pt>
                <c:pt idx="40">
                  <c:v>1.1427426628067183</c:v>
                </c:pt>
                <c:pt idx="41">
                  <c:v>1.1720376852108243</c:v>
                </c:pt>
                <c:pt idx="42">
                  <c:v>0.94965847873933529</c:v>
                </c:pt>
                <c:pt idx="43">
                  <c:v>0.94055810689588382</c:v>
                </c:pt>
                <c:pt idx="44">
                  <c:v>0.95245867110766935</c:v>
                </c:pt>
                <c:pt idx="45">
                  <c:v>0.89393219321771145</c:v>
                </c:pt>
                <c:pt idx="46">
                  <c:v>1.0781895590427131</c:v>
                </c:pt>
                <c:pt idx="47">
                  <c:v>1.1672893091553518</c:v>
                </c:pt>
                <c:pt idx="48">
                  <c:v>1.2359045130611443</c:v>
                </c:pt>
                <c:pt idx="49">
                  <c:v>1.1644929926980878</c:v>
                </c:pt>
                <c:pt idx="50">
                  <c:v>1.2249891970533433</c:v>
                </c:pt>
                <c:pt idx="51">
                  <c:v>1.2780602694606502</c:v>
                </c:pt>
                <c:pt idx="52">
                  <c:v>1.1475125510245934</c:v>
                </c:pt>
                <c:pt idx="53">
                  <c:v>1.1117661863239718</c:v>
                </c:pt>
                <c:pt idx="54">
                  <c:v>1.0719084300147528</c:v>
                </c:pt>
                <c:pt idx="55">
                  <c:v>1.1804510791900391</c:v>
                </c:pt>
                <c:pt idx="56">
                  <c:v>1.0634326921073896</c:v>
                </c:pt>
                <c:pt idx="57">
                  <c:v>1.0971768213334263</c:v>
                </c:pt>
                <c:pt idx="58">
                  <c:v>1.0332572136171079</c:v>
                </c:pt>
                <c:pt idx="59">
                  <c:v>0.88338682158348225</c:v>
                </c:pt>
                <c:pt idx="60">
                  <c:v>0.79515868716253102</c:v>
                </c:pt>
                <c:pt idx="61">
                  <c:v>0.5109724970521845</c:v>
                </c:pt>
                <c:pt idx="62">
                  <c:v>0.38609019059647642</c:v>
                </c:pt>
                <c:pt idx="63">
                  <c:v>0.34631520854781472</c:v>
                </c:pt>
                <c:pt idx="64">
                  <c:v>0.34134732521104283</c:v>
                </c:pt>
                <c:pt idx="65">
                  <c:v>0.17702850764201417</c:v>
                </c:pt>
                <c:pt idx="66">
                  <c:v>5.4080935539527628E-2</c:v>
                </c:pt>
                <c:pt idx="67">
                  <c:v>6.0856391148393182E-2</c:v>
                </c:pt>
                <c:pt idx="68">
                  <c:v>7.4739056375341895E-2</c:v>
                </c:pt>
                <c:pt idx="69">
                  <c:v>-4.8550652706565937E-2</c:v>
                </c:pt>
                <c:pt idx="70">
                  <c:v>-0.17038631395544773</c:v>
                </c:pt>
                <c:pt idx="71">
                  <c:v>-0.12580003565445255</c:v>
                </c:pt>
                <c:pt idx="72">
                  <c:v>-0.24282330710351885</c:v>
                </c:pt>
                <c:pt idx="73">
                  <c:v>-0.17313557415145839</c:v>
                </c:pt>
                <c:pt idx="74">
                  <c:v>-0.28483649946037032</c:v>
                </c:pt>
                <c:pt idx="75">
                  <c:v>-0.32641654778482981</c:v>
                </c:pt>
                <c:pt idx="76">
                  <c:v>-0.23202786600910502</c:v>
                </c:pt>
                <c:pt idx="77">
                  <c:v>-0.47868706597563265</c:v>
                </c:pt>
                <c:pt idx="78">
                  <c:v>-0.53330530526801778</c:v>
                </c:pt>
                <c:pt idx="79">
                  <c:v>-0.42522649819179187</c:v>
                </c:pt>
                <c:pt idx="80">
                  <c:v>-0.4103928981604838</c:v>
                </c:pt>
                <c:pt idx="81">
                  <c:v>-0.25216585166392741</c:v>
                </c:pt>
                <c:pt idx="82">
                  <c:v>-0.26780888754223042</c:v>
                </c:pt>
                <c:pt idx="83">
                  <c:v>-0.3101733990089251</c:v>
                </c:pt>
                <c:pt idx="84">
                  <c:v>-0.41996925103279975</c:v>
                </c:pt>
                <c:pt idx="85">
                  <c:v>-0.4843661442545672</c:v>
                </c:pt>
                <c:pt idx="86">
                  <c:v>-0.49164307654403888</c:v>
                </c:pt>
                <c:pt idx="87">
                  <c:v>-0.38171540609323706</c:v>
                </c:pt>
                <c:pt idx="88">
                  <c:v>-0.40413256498168809</c:v>
                </c:pt>
                <c:pt idx="89">
                  <c:v>-0.14545475182247011</c:v>
                </c:pt>
                <c:pt idx="90">
                  <c:v>-0.12336951814460129</c:v>
                </c:pt>
                <c:pt idx="91">
                  <c:v>-0.25823230691321986</c:v>
                </c:pt>
                <c:pt idx="92">
                  <c:v>-0.31257987775630836</c:v>
                </c:pt>
                <c:pt idx="93">
                  <c:v>-8.4909108966788424E-2</c:v>
                </c:pt>
                <c:pt idx="94">
                  <c:v>-0.25915850166684645</c:v>
                </c:pt>
                <c:pt idx="95">
                  <c:v>-0.4753239722586024</c:v>
                </c:pt>
                <c:pt idx="96">
                  <c:v>-0.54007580697043356</c:v>
                </c:pt>
                <c:pt idx="97">
                  <c:v>-0.56236881785768433</c:v>
                </c:pt>
                <c:pt idx="98">
                  <c:v>-0.57609632624616991</c:v>
                </c:pt>
                <c:pt idx="99">
                  <c:v>-0.57414454496188128</c:v>
                </c:pt>
                <c:pt idx="100">
                  <c:v>-0.57087793542048892</c:v>
                </c:pt>
                <c:pt idx="101">
                  <c:v>-0.62367278751915145</c:v>
                </c:pt>
                <c:pt idx="102">
                  <c:v>-0.58889854293945332</c:v>
                </c:pt>
                <c:pt idx="103">
                  <c:v>-0.58285044091833549</c:v>
                </c:pt>
                <c:pt idx="104">
                  <c:v>-0.66384557417795143</c:v>
                </c:pt>
                <c:pt idx="105">
                  <c:v>-0.68539147247647159</c:v>
                </c:pt>
                <c:pt idx="106">
                  <c:v>-0.86040609805485269</c:v>
                </c:pt>
                <c:pt idx="107">
                  <c:v>-0.80282089697251902</c:v>
                </c:pt>
                <c:pt idx="108">
                  <c:v>-0.66984860681585634</c:v>
                </c:pt>
                <c:pt idx="109">
                  <c:v>-0.78294347469828873</c:v>
                </c:pt>
                <c:pt idx="110">
                  <c:v>-0.79369230138670965</c:v>
                </c:pt>
                <c:pt idx="111">
                  <c:v>-0.6750112964618592</c:v>
                </c:pt>
                <c:pt idx="112">
                  <c:v>-0.68711609829684017</c:v>
                </c:pt>
                <c:pt idx="113">
                  <c:v>-0.50235626709056957</c:v>
                </c:pt>
                <c:pt idx="114">
                  <c:v>-0.55140402501907848</c:v>
                </c:pt>
                <c:pt idx="115">
                  <c:v>-0.5652236324731601</c:v>
                </c:pt>
                <c:pt idx="116">
                  <c:v>-0.56307001037649629</c:v>
                </c:pt>
                <c:pt idx="117">
                  <c:v>-0.41461965500425874</c:v>
                </c:pt>
                <c:pt idx="118">
                  <c:v>-0.49694141841321066</c:v>
                </c:pt>
                <c:pt idx="119">
                  <c:v>-0.40923742736328811</c:v>
                </c:pt>
                <c:pt idx="120">
                  <c:v>-0.43105837132612945</c:v>
                </c:pt>
                <c:pt idx="121">
                  <c:v>-0.55540447493880007</c:v>
                </c:pt>
                <c:pt idx="122">
                  <c:v>-0.60639312512931054</c:v>
                </c:pt>
                <c:pt idx="123">
                  <c:v>-0.5935910770747852</c:v>
                </c:pt>
                <c:pt idx="124">
                  <c:v>-0.48350314807509032</c:v>
                </c:pt>
                <c:pt idx="125">
                  <c:v>-0.44554064975292829</c:v>
                </c:pt>
                <c:pt idx="126">
                  <c:v>-0.36482998570840824</c:v>
                </c:pt>
                <c:pt idx="127">
                  <c:v>-0.25415444754365235</c:v>
                </c:pt>
                <c:pt idx="128">
                  <c:v>-0.37007039959496579</c:v>
                </c:pt>
                <c:pt idx="129">
                  <c:v>-0.46949821107109074</c:v>
                </c:pt>
                <c:pt idx="130">
                  <c:v>-0.44889161756239404</c:v>
                </c:pt>
                <c:pt idx="131">
                  <c:v>-0.35384588617814972</c:v>
                </c:pt>
                <c:pt idx="132">
                  <c:v>-0.50152902283620482</c:v>
                </c:pt>
                <c:pt idx="133">
                  <c:v>-0.41208318260548604</c:v>
                </c:pt>
                <c:pt idx="134">
                  <c:v>-0.39512492291600254</c:v>
                </c:pt>
                <c:pt idx="135">
                  <c:v>-0.37045263472124801</c:v>
                </c:pt>
                <c:pt idx="136">
                  <c:v>-0.27316757425652005</c:v>
                </c:pt>
                <c:pt idx="137">
                  <c:v>-0.16227557728016412</c:v>
                </c:pt>
                <c:pt idx="138">
                  <c:v>-1.790594468580169E-2</c:v>
                </c:pt>
                <c:pt idx="139">
                  <c:v>-0.17746331605396454</c:v>
                </c:pt>
                <c:pt idx="140">
                  <c:v>-0.30516590744145833</c:v>
                </c:pt>
                <c:pt idx="141">
                  <c:v>-0.24990824803393311</c:v>
                </c:pt>
                <c:pt idx="142">
                  <c:v>-0.32225659910399629</c:v>
                </c:pt>
                <c:pt idx="143">
                  <c:v>-0.25172544218339032</c:v>
                </c:pt>
                <c:pt idx="144">
                  <c:v>-0.28769954102289524</c:v>
                </c:pt>
                <c:pt idx="145">
                  <c:v>-0.3588245313881202</c:v>
                </c:pt>
                <c:pt idx="146">
                  <c:v>-0.20301564698393434</c:v>
                </c:pt>
                <c:pt idx="147">
                  <c:v>-0.23886355852241062</c:v>
                </c:pt>
                <c:pt idx="148">
                  <c:v>-0.48607060245331069</c:v>
                </c:pt>
                <c:pt idx="149">
                  <c:v>-0.39211977494187455</c:v>
                </c:pt>
                <c:pt idx="150">
                  <c:v>-0.21101856796903673</c:v>
                </c:pt>
                <c:pt idx="151">
                  <c:v>-0.26860479460487452</c:v>
                </c:pt>
                <c:pt idx="152">
                  <c:v>-0.27790937848112929</c:v>
                </c:pt>
                <c:pt idx="153">
                  <c:v>-0.31563841434137502</c:v>
                </c:pt>
                <c:pt idx="154">
                  <c:v>-0.25856873069506997</c:v>
                </c:pt>
                <c:pt idx="155">
                  <c:v>-0.23991123677196444</c:v>
                </c:pt>
                <c:pt idx="156">
                  <c:v>-0.1424171331404861</c:v>
                </c:pt>
                <c:pt idx="157">
                  <c:v>-0.33528679784152449</c:v>
                </c:pt>
                <c:pt idx="158">
                  <c:v>-0.38465836492746369</c:v>
                </c:pt>
                <c:pt idx="159">
                  <c:v>-0.31629479643630226</c:v>
                </c:pt>
                <c:pt idx="160">
                  <c:v>-0.26032079552009368</c:v>
                </c:pt>
                <c:pt idx="161">
                  <c:v>-0.19022125382551153</c:v>
                </c:pt>
                <c:pt idx="162">
                  <c:v>-0.21916133211984107</c:v>
                </c:pt>
                <c:pt idx="163">
                  <c:v>-0.20879413497967819</c:v>
                </c:pt>
                <c:pt idx="164">
                  <c:v>-0.41707954894681487</c:v>
                </c:pt>
                <c:pt idx="165">
                  <c:v>-0.36965657435879634</c:v>
                </c:pt>
                <c:pt idx="166">
                  <c:v>-0.3375253549012952</c:v>
                </c:pt>
                <c:pt idx="167">
                  <c:v>-0.3816468791623982</c:v>
                </c:pt>
                <c:pt idx="168">
                  <c:v>-0.45008881426042296</c:v>
                </c:pt>
                <c:pt idx="169">
                  <c:v>-0.3781228306446458</c:v>
                </c:pt>
                <c:pt idx="170">
                  <c:v>-0.37185915719914681</c:v>
                </c:pt>
                <c:pt idx="171">
                  <c:v>-0.39375338423056006</c:v>
                </c:pt>
                <c:pt idx="172">
                  <c:v>-0.48020246337864497</c:v>
                </c:pt>
                <c:pt idx="173">
                  <c:v>-0.38567950422893571</c:v>
                </c:pt>
                <c:pt idx="174">
                  <c:v>-0.44778323345216048</c:v>
                </c:pt>
                <c:pt idx="175">
                  <c:v>-0.51374148044600898</c:v>
                </c:pt>
                <c:pt idx="176">
                  <c:v>-0.52867029051240344</c:v>
                </c:pt>
                <c:pt idx="177">
                  <c:v>-0.51044957004475255</c:v>
                </c:pt>
                <c:pt idx="178">
                  <c:v>-0.54697278716288267</c:v>
                </c:pt>
                <c:pt idx="179">
                  <c:v>-0.55663042680961961</c:v>
                </c:pt>
                <c:pt idx="180">
                  <c:v>-0.61804703201120781</c:v>
                </c:pt>
                <c:pt idx="181">
                  <c:v>-0.63055333030235583</c:v>
                </c:pt>
                <c:pt idx="182">
                  <c:v>-0.64907839451026306</c:v>
                </c:pt>
                <c:pt idx="183">
                  <c:v>-0.64411856113842403</c:v>
                </c:pt>
                <c:pt idx="184">
                  <c:v>-0.58145188276073079</c:v>
                </c:pt>
                <c:pt idx="185">
                  <c:v>-0.58214554621241088</c:v>
                </c:pt>
                <c:pt idx="186">
                  <c:v>-0.50993240210944135</c:v>
                </c:pt>
                <c:pt idx="187">
                  <c:v>-0.53170376951109044</c:v>
                </c:pt>
                <c:pt idx="188">
                  <c:v>-0.49753387457126663</c:v>
                </c:pt>
                <c:pt idx="189">
                  <c:v>-0.55687946926085918</c:v>
                </c:pt>
                <c:pt idx="190">
                  <c:v>-0.54462086521083297</c:v>
                </c:pt>
                <c:pt idx="191">
                  <c:v>-0.47170360613776785</c:v>
                </c:pt>
                <c:pt idx="192">
                  <c:v>-0.47261679990177852</c:v>
                </c:pt>
                <c:pt idx="193">
                  <c:v>-0.45276187184207412</c:v>
                </c:pt>
                <c:pt idx="194">
                  <c:v>-0.49075841325165698</c:v>
                </c:pt>
                <c:pt idx="195">
                  <c:v>-0.47351545898854874</c:v>
                </c:pt>
                <c:pt idx="196">
                  <c:v>-0.37941445952908448</c:v>
                </c:pt>
                <c:pt idx="197">
                  <c:v>-0.35778126389848353</c:v>
                </c:pt>
                <c:pt idx="198">
                  <c:v>-0.37083454033528712</c:v>
                </c:pt>
                <c:pt idx="199">
                  <c:v>-0.31401949864455841</c:v>
                </c:pt>
                <c:pt idx="200">
                  <c:v>-0.16478323112657994</c:v>
                </c:pt>
                <c:pt idx="201">
                  <c:v>-0.23991667715195455</c:v>
                </c:pt>
                <c:pt idx="202">
                  <c:v>-9.8728449909917068E-2</c:v>
                </c:pt>
                <c:pt idx="203">
                  <c:v>-5.7415742456768719E-2</c:v>
                </c:pt>
                <c:pt idx="204">
                  <c:v>-8.9905137224622275E-3</c:v>
                </c:pt>
                <c:pt idx="205">
                  <c:v>-6.4299319928607712E-2</c:v>
                </c:pt>
                <c:pt idx="206">
                  <c:v>-9.6783056760782402E-2</c:v>
                </c:pt>
                <c:pt idx="207">
                  <c:v>-5.2664092590527553E-2</c:v>
                </c:pt>
                <c:pt idx="208">
                  <c:v>-0.16321015135489367</c:v>
                </c:pt>
                <c:pt idx="209">
                  <c:v>-0.13246876430634374</c:v>
                </c:pt>
                <c:pt idx="210">
                  <c:v>-9.6781547666292253E-2</c:v>
                </c:pt>
                <c:pt idx="211">
                  <c:v>-3.0187050870562893E-2</c:v>
                </c:pt>
                <c:pt idx="212">
                  <c:v>0.21669234648329488</c:v>
                </c:pt>
                <c:pt idx="213">
                  <c:v>0.37113675671836821</c:v>
                </c:pt>
                <c:pt idx="214">
                  <c:v>0.25517924071648374</c:v>
                </c:pt>
                <c:pt idx="215">
                  <c:v>0.27142904706018695</c:v>
                </c:pt>
                <c:pt idx="216">
                  <c:v>0.33207422406979259</c:v>
                </c:pt>
                <c:pt idx="217">
                  <c:v>9.9870273645421601E-2</c:v>
                </c:pt>
                <c:pt idx="218">
                  <c:v>3.02663446584461E-2</c:v>
                </c:pt>
                <c:pt idx="219">
                  <c:v>3.6731305027101535E-2</c:v>
                </c:pt>
                <c:pt idx="220">
                  <c:v>-4.2689122429981324E-2</c:v>
                </c:pt>
                <c:pt idx="221">
                  <c:v>-1.5392498733109465E-2</c:v>
                </c:pt>
                <c:pt idx="222">
                  <c:v>1.1236991946854853E-2</c:v>
                </c:pt>
                <c:pt idx="223">
                  <c:v>-1.6999308928359411E-2</c:v>
                </c:pt>
                <c:pt idx="224">
                  <c:v>1.1871795005079238</c:v>
                </c:pt>
                <c:pt idx="225">
                  <c:v>0.83436043674151417</c:v>
                </c:pt>
                <c:pt idx="226">
                  <c:v>0.88658388967217405</c:v>
                </c:pt>
                <c:pt idx="227">
                  <c:v>0.97652863868608297</c:v>
                </c:pt>
                <c:pt idx="228">
                  <c:v>0.57859797765960719</c:v>
                </c:pt>
                <c:pt idx="229">
                  <c:v>0.611159293820279</c:v>
                </c:pt>
                <c:pt idx="230">
                  <c:v>1.0868010239067403</c:v>
                </c:pt>
                <c:pt idx="231">
                  <c:v>1.3651198279841026</c:v>
                </c:pt>
                <c:pt idx="232">
                  <c:v>1.1969700429667194</c:v>
                </c:pt>
                <c:pt idx="233">
                  <c:v>1.3383155431999219</c:v>
                </c:pt>
                <c:pt idx="234">
                  <c:v>1.4092895933694576</c:v>
                </c:pt>
                <c:pt idx="235">
                  <c:v>1.2038043650117818</c:v>
                </c:pt>
                <c:pt idx="236">
                  <c:v>1.3801870304266906</c:v>
                </c:pt>
                <c:pt idx="237">
                  <c:v>1.084730555599394</c:v>
                </c:pt>
                <c:pt idx="238">
                  <c:v>1.0654611340102689</c:v>
                </c:pt>
                <c:pt idx="239">
                  <c:v>0.97507265737275606</c:v>
                </c:pt>
                <c:pt idx="240">
                  <c:v>1.0282302580750893</c:v>
                </c:pt>
                <c:pt idx="241">
                  <c:v>0.9129796134949214</c:v>
                </c:pt>
                <c:pt idx="242">
                  <c:v>1.1049902682100601</c:v>
                </c:pt>
                <c:pt idx="243">
                  <c:v>1.2150749912151519</c:v>
                </c:pt>
                <c:pt idx="244">
                  <c:v>1.4617529999782832</c:v>
                </c:pt>
                <c:pt idx="245">
                  <c:v>1.7576888695918231</c:v>
                </c:pt>
                <c:pt idx="246">
                  <c:v>2.0408805445777607</c:v>
                </c:pt>
                <c:pt idx="247">
                  <c:v>2.2577217480021106</c:v>
                </c:pt>
                <c:pt idx="248">
                  <c:v>2.4353790848084556</c:v>
                </c:pt>
                <c:pt idx="249">
                  <c:v>2.563762279781753</c:v>
                </c:pt>
                <c:pt idx="250">
                  <c:v>2.523648933248138</c:v>
                </c:pt>
                <c:pt idx="251">
                  <c:v>2.3051395188339954</c:v>
                </c:pt>
                <c:pt idx="252">
                  <c:v>1.8093037242848387</c:v>
                </c:pt>
                <c:pt idx="253">
                  <c:v>1.9798497727754734</c:v>
                </c:pt>
                <c:pt idx="254">
                  <c:v>2.3499056187170795</c:v>
                </c:pt>
                <c:pt idx="255">
                  <c:v>2.1741390617165877</c:v>
                </c:pt>
                <c:pt idx="256">
                  <c:v>2.0615688144423809</c:v>
                </c:pt>
                <c:pt idx="257">
                  <c:v>1.8653340229281055</c:v>
                </c:pt>
                <c:pt idx="258">
                  <c:v>1.9189531822308836</c:v>
                </c:pt>
                <c:pt idx="259">
                  <c:v>1.7107994566053166</c:v>
                </c:pt>
                <c:pt idx="260">
                  <c:v>1.6653908891000313</c:v>
                </c:pt>
                <c:pt idx="261">
                  <c:v>1.5015290368479921</c:v>
                </c:pt>
                <c:pt idx="262">
                  <c:v>1.2958045818137862</c:v>
                </c:pt>
                <c:pt idx="263">
                  <c:v>1.4957929856997929</c:v>
                </c:pt>
                <c:pt idx="264">
                  <c:v>1.5519798661409192</c:v>
                </c:pt>
                <c:pt idx="265">
                  <c:v>1.3480236358192739</c:v>
                </c:pt>
                <c:pt idx="266">
                  <c:v>1.2087291337481776</c:v>
                </c:pt>
                <c:pt idx="267">
                  <c:v>1.3630746732792498</c:v>
                </c:pt>
                <c:pt idx="268">
                  <c:v>1.2854324734902496</c:v>
                </c:pt>
                <c:pt idx="269">
                  <c:v>2.0763434068290954</c:v>
                </c:pt>
                <c:pt idx="270">
                  <c:v>1.9697204646486539</c:v>
                </c:pt>
                <c:pt idx="271">
                  <c:v>1.7890160435593907</c:v>
                </c:pt>
                <c:pt idx="272">
                  <c:v>1.7303922904601943</c:v>
                </c:pt>
                <c:pt idx="273">
                  <c:v>1.4417162277596396</c:v>
                </c:pt>
                <c:pt idx="274">
                  <c:v>1.4859558711252647</c:v>
                </c:pt>
                <c:pt idx="275">
                  <c:v>1.4201605723434974</c:v>
                </c:pt>
                <c:pt idx="276">
                  <c:v>1.3328293283734576</c:v>
                </c:pt>
                <c:pt idx="277">
                  <c:v>1.2559887238885254</c:v>
                </c:pt>
                <c:pt idx="278">
                  <c:v>1.2563642336575869</c:v>
                </c:pt>
                <c:pt idx="279">
                  <c:v>1.0758356451410829</c:v>
                </c:pt>
                <c:pt idx="280">
                  <c:v>1.1098690282914163</c:v>
                </c:pt>
                <c:pt idx="281">
                  <c:v>1.220240609779764</c:v>
                </c:pt>
                <c:pt idx="282">
                  <c:v>1.0147666215088367</c:v>
                </c:pt>
                <c:pt idx="283">
                  <c:v>1.2188408436379961</c:v>
                </c:pt>
                <c:pt idx="284">
                  <c:v>1.0259035202009756</c:v>
                </c:pt>
                <c:pt idx="285">
                  <c:v>1.0221053109885212</c:v>
                </c:pt>
                <c:pt idx="286">
                  <c:v>1.1571485841115619</c:v>
                </c:pt>
                <c:pt idx="287">
                  <c:v>0.8178973999240351</c:v>
                </c:pt>
                <c:pt idx="288">
                  <c:v>0.83527441346909648</c:v>
                </c:pt>
                <c:pt idx="289">
                  <c:v>0.84001777339202521</c:v>
                </c:pt>
                <c:pt idx="290">
                  <c:v>0.78623514447236076</c:v>
                </c:pt>
                <c:pt idx="291">
                  <c:v>0.91793228910600988</c:v>
                </c:pt>
                <c:pt idx="292">
                  <c:v>0.89976658292651202</c:v>
                </c:pt>
                <c:pt idx="293">
                  <c:v>0.86427293455967702</c:v>
                </c:pt>
                <c:pt idx="294">
                  <c:v>0.85963748179771471</c:v>
                </c:pt>
                <c:pt idx="295">
                  <c:v>0.75723888885211033</c:v>
                </c:pt>
                <c:pt idx="296">
                  <c:v>0.6357001557003118</c:v>
                </c:pt>
                <c:pt idx="297">
                  <c:v>0.59382923542581212</c:v>
                </c:pt>
                <c:pt idx="298">
                  <c:v>0.80168629713870165</c:v>
                </c:pt>
                <c:pt idx="299">
                  <c:v>1.0441373810461991</c:v>
                </c:pt>
                <c:pt idx="300">
                  <c:v>0.79631034041286797</c:v>
                </c:pt>
                <c:pt idx="301">
                  <c:v>0.88426422165639673</c:v>
                </c:pt>
                <c:pt idx="302">
                  <c:v>0.7515554392884406</c:v>
                </c:pt>
                <c:pt idx="303">
                  <c:v>0.90106168291306876</c:v>
                </c:pt>
                <c:pt idx="304">
                  <c:v>0.64200321686904649</c:v>
                </c:pt>
                <c:pt idx="305">
                  <c:v>0.50625923404354667</c:v>
                </c:pt>
                <c:pt idx="306">
                  <c:v>0.51713217842613646</c:v>
                </c:pt>
                <c:pt idx="307">
                  <c:v>0.5071295440371234</c:v>
                </c:pt>
                <c:pt idx="308">
                  <c:v>0.45908321700170196</c:v>
                </c:pt>
                <c:pt idx="309">
                  <c:v>0.50115615195551189</c:v>
                </c:pt>
                <c:pt idx="310">
                  <c:v>0.60108991928643929</c:v>
                </c:pt>
                <c:pt idx="311">
                  <c:v>0.66996143307929035</c:v>
                </c:pt>
                <c:pt idx="312">
                  <c:v>0.48927291853409532</c:v>
                </c:pt>
                <c:pt idx="313">
                  <c:v>0.52319482029874342</c:v>
                </c:pt>
                <c:pt idx="314">
                  <c:v>0.43704165382410043</c:v>
                </c:pt>
                <c:pt idx="315">
                  <c:v>0.35849042648046969</c:v>
                </c:pt>
                <c:pt idx="316">
                  <c:v>0.3372602862034017</c:v>
                </c:pt>
                <c:pt idx="317">
                  <c:v>0.43164600160238176</c:v>
                </c:pt>
                <c:pt idx="318">
                  <c:v>0.34479910010830872</c:v>
                </c:pt>
                <c:pt idx="319">
                  <c:v>0.20656498679098348</c:v>
                </c:pt>
                <c:pt idx="320">
                  <c:v>0.10140759059027116</c:v>
                </c:pt>
                <c:pt idx="321">
                  <c:v>2.4246699196407574E-2</c:v>
                </c:pt>
                <c:pt idx="322">
                  <c:v>-0.12757136360336441</c:v>
                </c:pt>
                <c:pt idx="323">
                  <c:v>-2.9340368319118446E-2</c:v>
                </c:pt>
                <c:pt idx="324">
                  <c:v>4.4057988473597334E-2</c:v>
                </c:pt>
                <c:pt idx="325">
                  <c:v>-5.6994187577032125E-2</c:v>
                </c:pt>
                <c:pt idx="326">
                  <c:v>0.1973164334397122</c:v>
                </c:pt>
                <c:pt idx="327">
                  <c:v>0.1778908988662192</c:v>
                </c:pt>
                <c:pt idx="328">
                  <c:v>1.057264072925135E-2</c:v>
                </c:pt>
                <c:pt idx="329">
                  <c:v>8.2469078154849509E-2</c:v>
                </c:pt>
                <c:pt idx="330">
                  <c:v>-5.8180131172999201E-2</c:v>
                </c:pt>
                <c:pt idx="331">
                  <c:v>-1.2583824175774614E-2</c:v>
                </c:pt>
                <c:pt idx="332">
                  <c:v>4.4668247870787298E-2</c:v>
                </c:pt>
                <c:pt idx="333">
                  <c:v>0.29553864450210554</c:v>
                </c:pt>
                <c:pt idx="334">
                  <c:v>0.23409024301855644</c:v>
                </c:pt>
                <c:pt idx="335">
                  <c:v>9.9234715910136773E-2</c:v>
                </c:pt>
                <c:pt idx="336">
                  <c:v>0.18641822264727956</c:v>
                </c:pt>
                <c:pt idx="337">
                  <c:v>0.11280278533230119</c:v>
                </c:pt>
                <c:pt idx="338">
                  <c:v>0.28603309036893532</c:v>
                </c:pt>
                <c:pt idx="339">
                  <c:v>0.35541419814391739</c:v>
                </c:pt>
                <c:pt idx="340">
                  <c:v>0.15121445792644259</c:v>
                </c:pt>
                <c:pt idx="341">
                  <c:v>0.37301826137981553</c:v>
                </c:pt>
                <c:pt idx="342">
                  <c:v>0.1560805957580518</c:v>
                </c:pt>
                <c:pt idx="343">
                  <c:v>0.18473216528037964</c:v>
                </c:pt>
                <c:pt idx="344">
                  <c:v>0.15586811846460438</c:v>
                </c:pt>
                <c:pt idx="345">
                  <c:v>0.14559701610129971</c:v>
                </c:pt>
                <c:pt idx="346">
                  <c:v>0.16101388648594192</c:v>
                </c:pt>
                <c:pt idx="347">
                  <c:v>0.36375587832230805</c:v>
                </c:pt>
                <c:pt idx="348">
                  <c:v>0.97205030710714457</c:v>
                </c:pt>
                <c:pt idx="349">
                  <c:v>1.3124055731913769</c:v>
                </c:pt>
                <c:pt idx="350">
                  <c:v>1.051863492122763</c:v>
                </c:pt>
                <c:pt idx="351">
                  <c:v>0.77194248017442957</c:v>
                </c:pt>
                <c:pt idx="352">
                  <c:v>0.53308676489825313</c:v>
                </c:pt>
                <c:pt idx="353">
                  <c:v>0.3286150902290022</c:v>
                </c:pt>
                <c:pt idx="354">
                  <c:v>0.25371904264354322</c:v>
                </c:pt>
                <c:pt idx="355">
                  <c:v>0.17065301841133185</c:v>
                </c:pt>
                <c:pt idx="356">
                  <c:v>0.15157748289086043</c:v>
                </c:pt>
                <c:pt idx="357">
                  <c:v>0.13602522573535888</c:v>
                </c:pt>
                <c:pt idx="358">
                  <c:v>0.11940558507620277</c:v>
                </c:pt>
                <c:pt idx="359">
                  <c:v>0.10694203126489417</c:v>
                </c:pt>
                <c:pt idx="360">
                  <c:v>5.0086403051393537E-2</c:v>
                </c:pt>
                <c:pt idx="361">
                  <c:v>4.6303807981852907E-2</c:v>
                </c:pt>
                <c:pt idx="362">
                  <c:v>6.2798994067701217E-2</c:v>
                </c:pt>
                <c:pt idx="363">
                  <c:v>-7.0900844374360047E-2</c:v>
                </c:pt>
                <c:pt idx="364">
                  <c:v>-9.6158483011130572E-2</c:v>
                </c:pt>
                <c:pt idx="365">
                  <c:v>-0.14982534283235066</c:v>
                </c:pt>
                <c:pt idx="366">
                  <c:v>-0.20029559238198663</c:v>
                </c:pt>
                <c:pt idx="367">
                  <c:v>-0.12673210813196262</c:v>
                </c:pt>
                <c:pt idx="368">
                  <c:v>-0.12828057504598506</c:v>
                </c:pt>
                <c:pt idx="369">
                  <c:v>-0.15813042420381024</c:v>
                </c:pt>
                <c:pt idx="370">
                  <c:v>-0.1686021260907736</c:v>
                </c:pt>
                <c:pt idx="371">
                  <c:v>-0.124955252903692</c:v>
                </c:pt>
                <c:pt idx="372">
                  <c:v>-0.24523211910433967</c:v>
                </c:pt>
                <c:pt idx="373">
                  <c:v>-0.3007815412158043</c:v>
                </c:pt>
                <c:pt idx="374">
                  <c:v>-0.22959518089208075</c:v>
                </c:pt>
                <c:pt idx="375">
                  <c:v>-0.29174513262342366</c:v>
                </c:pt>
                <c:pt idx="376">
                  <c:v>-0.26557707368298594</c:v>
                </c:pt>
                <c:pt idx="377">
                  <c:v>-0.24508382012852911</c:v>
                </c:pt>
                <c:pt idx="378">
                  <c:v>-0.39971867348328954</c:v>
                </c:pt>
                <c:pt idx="379">
                  <c:v>-0.62522555390185264</c:v>
                </c:pt>
                <c:pt idx="380">
                  <c:v>-0.57553779219150281</c:v>
                </c:pt>
                <c:pt idx="381">
                  <c:v>-0.50603054948033699</c:v>
                </c:pt>
                <c:pt idx="382">
                  <c:v>-0.50798322717515987</c:v>
                </c:pt>
                <c:pt idx="383">
                  <c:v>-0.56196807329125964</c:v>
                </c:pt>
                <c:pt idx="384">
                  <c:v>-0.54254096646627514</c:v>
                </c:pt>
              </c:numCache>
            </c:numRef>
          </c:val>
          <c:smooth val="0"/>
          <c:extLst>
            <c:ext xmlns:c16="http://schemas.microsoft.com/office/drawing/2014/chart" uri="{C3380CC4-5D6E-409C-BE32-E72D297353CC}">
              <c16:uniqueId val="{00000001-8793-4045-A82E-D0588E1D2250}"/>
            </c:ext>
          </c:extLst>
        </c:ser>
        <c:dLbls>
          <c:showLegendKey val="0"/>
          <c:showVal val="0"/>
          <c:showCatName val="0"/>
          <c:showSerName val="0"/>
          <c:showPercent val="0"/>
          <c:showBubbleSize val="0"/>
        </c:dLbls>
        <c:marker val="1"/>
        <c:smooth val="0"/>
        <c:axId val="928161152"/>
        <c:axId val="1907391744"/>
      </c:lineChart>
      <c:dateAx>
        <c:axId val="174284001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04972272"/>
        <c:crosses val="autoZero"/>
        <c:auto val="0"/>
        <c:lblOffset val="100"/>
        <c:baseTimeUnit val="months"/>
        <c:majorUnit val="24"/>
        <c:minorUnit val="1"/>
      </c:dateAx>
      <c:valAx>
        <c:axId val="19049722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42840016"/>
        <c:crosses val="autoZero"/>
        <c:crossBetween val="between"/>
      </c:valAx>
      <c:valAx>
        <c:axId val="1907391744"/>
        <c:scaling>
          <c:orientation val="minMax"/>
          <c:max val="3"/>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8161152"/>
        <c:crosses val="max"/>
        <c:crossBetween val="between"/>
        <c:majorUnit val="1"/>
      </c:valAx>
      <c:dateAx>
        <c:axId val="928161152"/>
        <c:scaling>
          <c:orientation val="minMax"/>
        </c:scaling>
        <c:delete val="1"/>
        <c:axPos val="b"/>
        <c:numFmt formatCode="m/d/yyyy" sourceLinked="1"/>
        <c:majorTickMark val="out"/>
        <c:minorTickMark val="none"/>
        <c:tickLblPos val="nextTo"/>
        <c:crossAx val="1907391744"/>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84566456219996E-2"/>
          <c:y val="4.185901944002645E-2"/>
          <c:w val="0.90028540351374997"/>
          <c:h val="0.87493575096987197"/>
        </c:manualLayout>
      </c:layout>
      <c:barChart>
        <c:barDir val="col"/>
        <c:grouping val="stacked"/>
        <c:varyColors val="0"/>
        <c:ser>
          <c:idx val="0"/>
          <c:order val="0"/>
          <c:tx>
            <c:strRef>
              <c:f>'Figure 2.5.'!$Z$27</c:f>
              <c:strCache>
                <c:ptCount val="1"/>
                <c:pt idx="0">
                  <c:v>Food and nonalcoholic beverages</c:v>
                </c:pt>
              </c:strCache>
            </c:strRef>
          </c:tx>
          <c:spPr>
            <a:solidFill>
              <a:schemeClr val="accent1"/>
            </a:solidFill>
            <a:ln>
              <a:noFill/>
            </a:ln>
            <a:effectLst/>
          </c:spPr>
          <c:invertIfNegative val="0"/>
          <c:cat>
            <c:strRef>
              <c:f>'Figure 2.5.'!$Y$28:$Y$32</c:f>
              <c:strCache>
                <c:ptCount val="5"/>
                <c:pt idx="0">
                  <c:v>Poorest</c:v>
                </c:pt>
                <c:pt idx="1">
                  <c:v>2</c:v>
                </c:pt>
                <c:pt idx="2">
                  <c:v>3</c:v>
                </c:pt>
                <c:pt idx="3">
                  <c:v>4</c:v>
                </c:pt>
                <c:pt idx="4">
                  <c:v>Richest</c:v>
                </c:pt>
              </c:strCache>
            </c:strRef>
          </c:cat>
          <c:val>
            <c:numRef>
              <c:f>'Figure 2.5.'!$Z$28:$Z$32</c:f>
              <c:numCache>
                <c:formatCode>0</c:formatCode>
                <c:ptCount val="5"/>
                <c:pt idx="0">
                  <c:v>7.2121809242090302</c:v>
                </c:pt>
                <c:pt idx="1">
                  <c:v>6.2195113918820102</c:v>
                </c:pt>
                <c:pt idx="2">
                  <c:v>5.4170297803809397</c:v>
                </c:pt>
                <c:pt idx="3">
                  <c:v>4.6672832260037698</c:v>
                </c:pt>
                <c:pt idx="4">
                  <c:v>2.89261916304664</c:v>
                </c:pt>
              </c:numCache>
            </c:numRef>
          </c:val>
          <c:extLst>
            <c:ext xmlns:c16="http://schemas.microsoft.com/office/drawing/2014/chart" uri="{C3380CC4-5D6E-409C-BE32-E72D297353CC}">
              <c16:uniqueId val="{00000000-650F-4360-86FB-9F0783CDB12A}"/>
            </c:ext>
          </c:extLst>
        </c:ser>
        <c:ser>
          <c:idx val="1"/>
          <c:order val="1"/>
          <c:tx>
            <c:strRef>
              <c:f>'Figure 2.5.'!$AA$27</c:f>
              <c:strCache>
                <c:ptCount val="1"/>
                <c:pt idx="0">
                  <c:v>Housing, water, electricity, gas and other fuels</c:v>
                </c:pt>
              </c:strCache>
            </c:strRef>
          </c:tx>
          <c:spPr>
            <a:solidFill>
              <a:schemeClr val="accent2"/>
            </a:solidFill>
            <a:ln>
              <a:noFill/>
            </a:ln>
            <a:effectLst/>
          </c:spPr>
          <c:invertIfNegative val="0"/>
          <c:cat>
            <c:strRef>
              <c:f>'Figure 2.5.'!$Y$28:$Y$32</c:f>
              <c:strCache>
                <c:ptCount val="5"/>
                <c:pt idx="0">
                  <c:v>Poorest</c:v>
                </c:pt>
                <c:pt idx="1">
                  <c:v>2</c:v>
                </c:pt>
                <c:pt idx="2">
                  <c:v>3</c:v>
                </c:pt>
                <c:pt idx="3">
                  <c:v>4</c:v>
                </c:pt>
                <c:pt idx="4">
                  <c:v>Richest</c:v>
                </c:pt>
              </c:strCache>
            </c:strRef>
          </c:cat>
          <c:val>
            <c:numRef>
              <c:f>'Figure 2.5.'!$AA$28:$AA$32</c:f>
              <c:numCache>
                <c:formatCode>0</c:formatCode>
                <c:ptCount val="5"/>
                <c:pt idx="0">
                  <c:v>0.45408913679490004</c:v>
                </c:pt>
                <c:pt idx="1">
                  <c:v>0.58515403333407201</c:v>
                </c:pt>
                <c:pt idx="2">
                  <c:v>0.69736808607149792</c:v>
                </c:pt>
                <c:pt idx="3">
                  <c:v>0.90516556840643092</c:v>
                </c:pt>
                <c:pt idx="4">
                  <c:v>1.00443031803397</c:v>
                </c:pt>
              </c:numCache>
            </c:numRef>
          </c:val>
          <c:extLst>
            <c:ext xmlns:c16="http://schemas.microsoft.com/office/drawing/2014/chart" uri="{C3380CC4-5D6E-409C-BE32-E72D297353CC}">
              <c16:uniqueId val="{00000001-650F-4360-86FB-9F0783CDB12A}"/>
            </c:ext>
          </c:extLst>
        </c:ser>
        <c:ser>
          <c:idx val="2"/>
          <c:order val="2"/>
          <c:tx>
            <c:strRef>
              <c:f>'Figure 2.5.'!$AB$27</c:f>
              <c:strCache>
                <c:ptCount val="1"/>
                <c:pt idx="0">
                  <c:v>Transport</c:v>
                </c:pt>
              </c:strCache>
            </c:strRef>
          </c:tx>
          <c:spPr>
            <a:solidFill>
              <a:schemeClr val="accent3"/>
            </a:solidFill>
            <a:ln>
              <a:noFill/>
            </a:ln>
            <a:effectLst/>
          </c:spPr>
          <c:invertIfNegative val="0"/>
          <c:cat>
            <c:strRef>
              <c:f>'Figure 2.5.'!$Y$28:$Y$32</c:f>
              <c:strCache>
                <c:ptCount val="5"/>
                <c:pt idx="0">
                  <c:v>Poorest</c:v>
                </c:pt>
                <c:pt idx="1">
                  <c:v>2</c:v>
                </c:pt>
                <c:pt idx="2">
                  <c:v>3</c:v>
                </c:pt>
                <c:pt idx="3">
                  <c:v>4</c:v>
                </c:pt>
                <c:pt idx="4">
                  <c:v>Richest</c:v>
                </c:pt>
              </c:strCache>
            </c:strRef>
          </c:cat>
          <c:val>
            <c:numRef>
              <c:f>'Figure 2.5.'!$AB$28:$AB$32</c:f>
              <c:numCache>
                <c:formatCode>0</c:formatCode>
                <c:ptCount val="5"/>
                <c:pt idx="0">
                  <c:v>0.26009948071401801</c:v>
                </c:pt>
                <c:pt idx="1">
                  <c:v>0.39355135061915003</c:v>
                </c:pt>
                <c:pt idx="2">
                  <c:v>0.48038123111197406</c:v>
                </c:pt>
                <c:pt idx="3">
                  <c:v>0.54544970940786996</c:v>
                </c:pt>
                <c:pt idx="4">
                  <c:v>0.87714180980051104</c:v>
                </c:pt>
              </c:numCache>
            </c:numRef>
          </c:val>
          <c:extLst>
            <c:ext xmlns:c16="http://schemas.microsoft.com/office/drawing/2014/chart" uri="{C3380CC4-5D6E-409C-BE32-E72D297353CC}">
              <c16:uniqueId val="{00000002-650F-4360-86FB-9F0783CDB12A}"/>
            </c:ext>
          </c:extLst>
        </c:ser>
        <c:ser>
          <c:idx val="3"/>
          <c:order val="3"/>
          <c:tx>
            <c:strRef>
              <c:f>'Figure 2.5.'!$AC$27</c:f>
              <c:strCache>
                <c:ptCount val="1"/>
                <c:pt idx="0">
                  <c:v>Other consumption categories </c:v>
                </c:pt>
              </c:strCache>
            </c:strRef>
          </c:tx>
          <c:spPr>
            <a:solidFill>
              <a:srgbClr val="00B050"/>
            </a:solidFill>
            <a:ln>
              <a:noFill/>
            </a:ln>
            <a:effectLst/>
          </c:spPr>
          <c:invertIfNegative val="0"/>
          <c:cat>
            <c:strRef>
              <c:f>'Figure 2.5.'!$Y$28:$Y$32</c:f>
              <c:strCache>
                <c:ptCount val="5"/>
                <c:pt idx="0">
                  <c:v>Poorest</c:v>
                </c:pt>
                <c:pt idx="1">
                  <c:v>2</c:v>
                </c:pt>
                <c:pt idx="2">
                  <c:v>3</c:v>
                </c:pt>
                <c:pt idx="3">
                  <c:v>4</c:v>
                </c:pt>
                <c:pt idx="4">
                  <c:v>Richest</c:v>
                </c:pt>
              </c:strCache>
            </c:strRef>
          </c:cat>
          <c:val>
            <c:numRef>
              <c:f>'Figure 2.5.'!$AC$28:$AC$32</c:f>
              <c:numCache>
                <c:formatCode>0</c:formatCode>
                <c:ptCount val="5"/>
                <c:pt idx="0">
                  <c:v>1.09492135557401</c:v>
                </c:pt>
                <c:pt idx="1">
                  <c:v>1.1173203027002701</c:v>
                </c:pt>
                <c:pt idx="2">
                  <c:v>1.1647574155284299</c:v>
                </c:pt>
                <c:pt idx="3">
                  <c:v>1.19353644917834</c:v>
                </c:pt>
                <c:pt idx="4">
                  <c:v>1.35799750151265</c:v>
                </c:pt>
              </c:numCache>
            </c:numRef>
          </c:val>
          <c:extLst>
            <c:ext xmlns:c16="http://schemas.microsoft.com/office/drawing/2014/chart" uri="{C3380CC4-5D6E-409C-BE32-E72D297353CC}">
              <c16:uniqueId val="{00000003-650F-4360-86FB-9F0783CDB12A}"/>
            </c:ext>
          </c:extLst>
        </c:ser>
        <c:dLbls>
          <c:showLegendKey val="0"/>
          <c:showVal val="0"/>
          <c:showCatName val="0"/>
          <c:showSerName val="0"/>
          <c:showPercent val="0"/>
          <c:showBubbleSize val="0"/>
        </c:dLbls>
        <c:gapWidth val="62"/>
        <c:overlap val="100"/>
        <c:axId val="966540495"/>
        <c:axId val="966538415"/>
      </c:barChart>
      <c:lineChart>
        <c:grouping val="standard"/>
        <c:varyColors val="0"/>
        <c:ser>
          <c:idx val="4"/>
          <c:order val="4"/>
          <c:tx>
            <c:strRef>
              <c:f>'Figure 2.5.'!$AE$27</c:f>
              <c:strCache>
                <c:ptCount val="1"/>
                <c:pt idx="0">
                  <c:v>Annual inflation </c:v>
                </c:pt>
              </c:strCache>
            </c:strRef>
          </c:tx>
          <c:spPr>
            <a:ln w="28575" cap="rnd">
              <a:solidFill>
                <a:srgbClr val="FF0000"/>
              </a:solidFill>
              <a:prstDash val="dash"/>
              <a:round/>
            </a:ln>
            <a:effectLst/>
          </c:spPr>
          <c:marker>
            <c:symbol val="none"/>
          </c:marker>
          <c:cat>
            <c:strRef>
              <c:f>'Figure 2.5.'!$Y$28:$Y$32</c:f>
              <c:strCache>
                <c:ptCount val="5"/>
                <c:pt idx="0">
                  <c:v>Poorest</c:v>
                </c:pt>
                <c:pt idx="1">
                  <c:v>2</c:v>
                </c:pt>
                <c:pt idx="2">
                  <c:v>3</c:v>
                </c:pt>
                <c:pt idx="3">
                  <c:v>4</c:v>
                </c:pt>
                <c:pt idx="4">
                  <c:v>Richest</c:v>
                </c:pt>
              </c:strCache>
            </c:strRef>
          </c:cat>
          <c:val>
            <c:numRef>
              <c:f>'Figure 2.5.'!$AE$28:$AE$32</c:f>
              <c:numCache>
                <c:formatCode>0</c:formatCode>
                <c:ptCount val="5"/>
                <c:pt idx="0">
                  <c:v>7.89</c:v>
                </c:pt>
                <c:pt idx="1">
                  <c:v>7.89</c:v>
                </c:pt>
                <c:pt idx="2">
                  <c:v>7.89</c:v>
                </c:pt>
                <c:pt idx="3">
                  <c:v>7.89</c:v>
                </c:pt>
                <c:pt idx="4">
                  <c:v>7.89</c:v>
                </c:pt>
              </c:numCache>
            </c:numRef>
          </c:val>
          <c:smooth val="0"/>
          <c:extLst>
            <c:ext xmlns:c16="http://schemas.microsoft.com/office/drawing/2014/chart" uri="{C3380CC4-5D6E-409C-BE32-E72D297353CC}">
              <c16:uniqueId val="{00000004-650F-4360-86FB-9F0783CDB12A}"/>
            </c:ext>
          </c:extLst>
        </c:ser>
        <c:dLbls>
          <c:showLegendKey val="0"/>
          <c:showVal val="0"/>
          <c:showCatName val="0"/>
          <c:showSerName val="0"/>
          <c:showPercent val="0"/>
          <c:showBubbleSize val="0"/>
        </c:dLbls>
        <c:marker val="1"/>
        <c:smooth val="0"/>
        <c:axId val="966540495"/>
        <c:axId val="966538415"/>
      </c:lineChart>
      <c:catAx>
        <c:axId val="966540495"/>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66538415"/>
        <c:crosses val="autoZero"/>
        <c:auto val="1"/>
        <c:lblAlgn val="ctr"/>
        <c:lblOffset val="100"/>
        <c:noMultiLvlLbl val="0"/>
      </c:catAx>
      <c:valAx>
        <c:axId val="966538415"/>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66540495"/>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2259859746064"/>
          <c:y val="3.4626572227307653E-2"/>
          <c:w val="0.86454270612493078"/>
          <c:h val="0.85792502657479508"/>
        </c:manualLayout>
      </c:layout>
      <c:barChart>
        <c:barDir val="col"/>
        <c:grouping val="stacked"/>
        <c:varyColors val="0"/>
        <c:ser>
          <c:idx val="0"/>
          <c:order val="0"/>
          <c:tx>
            <c:strRef>
              <c:f>'Figure 2.5.'!$Z$34</c:f>
              <c:strCache>
                <c:ptCount val="1"/>
                <c:pt idx="0">
                  <c:v>Food and nonalcoholic beverages</c:v>
                </c:pt>
              </c:strCache>
            </c:strRef>
          </c:tx>
          <c:spPr>
            <a:solidFill>
              <a:schemeClr val="accent1"/>
            </a:solidFill>
            <a:ln>
              <a:noFill/>
            </a:ln>
            <a:effectLst/>
          </c:spPr>
          <c:invertIfNegative val="0"/>
          <c:cat>
            <c:strRef>
              <c:f>'Figure 2.5.'!$Y$35:$Y$39</c:f>
              <c:strCache>
                <c:ptCount val="5"/>
                <c:pt idx="0">
                  <c:v>Poorest</c:v>
                </c:pt>
                <c:pt idx="1">
                  <c:v>2</c:v>
                </c:pt>
                <c:pt idx="2">
                  <c:v>3</c:v>
                </c:pt>
                <c:pt idx="3">
                  <c:v>4</c:v>
                </c:pt>
                <c:pt idx="4">
                  <c:v>Richest</c:v>
                </c:pt>
              </c:strCache>
            </c:strRef>
          </c:cat>
          <c:val>
            <c:numRef>
              <c:f>'Figure 2.5.'!$Z$35:$Z$39</c:f>
              <c:numCache>
                <c:formatCode>0</c:formatCode>
                <c:ptCount val="5"/>
                <c:pt idx="0">
                  <c:v>0.86503852379207002</c:v>
                </c:pt>
                <c:pt idx="1">
                  <c:v>0.93918468809335698</c:v>
                </c:pt>
                <c:pt idx="2">
                  <c:v>0.99610492689693708</c:v>
                </c:pt>
                <c:pt idx="3">
                  <c:v>0.98772427240123795</c:v>
                </c:pt>
                <c:pt idx="4">
                  <c:v>0.84285802384743091</c:v>
                </c:pt>
              </c:numCache>
            </c:numRef>
          </c:val>
          <c:extLst>
            <c:ext xmlns:c16="http://schemas.microsoft.com/office/drawing/2014/chart" uri="{C3380CC4-5D6E-409C-BE32-E72D297353CC}">
              <c16:uniqueId val="{00000000-7F41-41F7-8B00-D6FE82B158A8}"/>
            </c:ext>
          </c:extLst>
        </c:ser>
        <c:ser>
          <c:idx val="1"/>
          <c:order val="1"/>
          <c:tx>
            <c:strRef>
              <c:f>'Figure 2.5.'!$AA$34</c:f>
              <c:strCache>
                <c:ptCount val="1"/>
                <c:pt idx="0">
                  <c:v>Housing, water, electricity, gas and other fuels</c:v>
                </c:pt>
              </c:strCache>
            </c:strRef>
          </c:tx>
          <c:spPr>
            <a:solidFill>
              <a:schemeClr val="accent2"/>
            </a:solidFill>
            <a:ln>
              <a:noFill/>
            </a:ln>
            <a:effectLst/>
          </c:spPr>
          <c:invertIfNegative val="0"/>
          <c:cat>
            <c:strRef>
              <c:f>'Figure 2.5.'!$Y$35:$Y$39</c:f>
              <c:strCache>
                <c:ptCount val="5"/>
                <c:pt idx="0">
                  <c:v>Poorest</c:v>
                </c:pt>
                <c:pt idx="1">
                  <c:v>2</c:v>
                </c:pt>
                <c:pt idx="2">
                  <c:v>3</c:v>
                </c:pt>
                <c:pt idx="3">
                  <c:v>4</c:v>
                </c:pt>
                <c:pt idx="4">
                  <c:v>Richest</c:v>
                </c:pt>
              </c:strCache>
            </c:strRef>
          </c:cat>
          <c:val>
            <c:numRef>
              <c:f>'Figure 2.5.'!$AA$35:$AA$39</c:f>
              <c:numCache>
                <c:formatCode>0</c:formatCode>
                <c:ptCount val="5"/>
                <c:pt idx="0">
                  <c:v>3.2993184096845001</c:v>
                </c:pt>
                <c:pt idx="1">
                  <c:v>2.56340428954883</c:v>
                </c:pt>
                <c:pt idx="2">
                  <c:v>1.96980242263212</c:v>
                </c:pt>
                <c:pt idx="3">
                  <c:v>1.48738648517259</c:v>
                </c:pt>
                <c:pt idx="4">
                  <c:v>1.1421003311362701</c:v>
                </c:pt>
              </c:numCache>
            </c:numRef>
          </c:val>
          <c:extLst>
            <c:ext xmlns:c16="http://schemas.microsoft.com/office/drawing/2014/chart" uri="{C3380CC4-5D6E-409C-BE32-E72D297353CC}">
              <c16:uniqueId val="{00000001-7F41-41F7-8B00-D6FE82B158A8}"/>
            </c:ext>
          </c:extLst>
        </c:ser>
        <c:ser>
          <c:idx val="2"/>
          <c:order val="2"/>
          <c:tx>
            <c:strRef>
              <c:f>'Figure 2.5.'!$AB$34</c:f>
              <c:strCache>
                <c:ptCount val="1"/>
                <c:pt idx="0">
                  <c:v>Transport</c:v>
                </c:pt>
              </c:strCache>
            </c:strRef>
          </c:tx>
          <c:spPr>
            <a:solidFill>
              <a:schemeClr val="accent3"/>
            </a:solidFill>
            <a:ln>
              <a:noFill/>
            </a:ln>
            <a:effectLst/>
          </c:spPr>
          <c:invertIfNegative val="0"/>
          <c:cat>
            <c:strRef>
              <c:f>'Figure 2.5.'!$Y$35:$Y$39</c:f>
              <c:strCache>
                <c:ptCount val="5"/>
                <c:pt idx="0">
                  <c:v>Poorest</c:v>
                </c:pt>
                <c:pt idx="1">
                  <c:v>2</c:v>
                </c:pt>
                <c:pt idx="2">
                  <c:v>3</c:v>
                </c:pt>
                <c:pt idx="3">
                  <c:v>4</c:v>
                </c:pt>
                <c:pt idx="4">
                  <c:v>Richest</c:v>
                </c:pt>
              </c:strCache>
            </c:strRef>
          </c:cat>
          <c:val>
            <c:numRef>
              <c:f>'Figure 2.5.'!$AB$35:$AB$39</c:f>
              <c:numCache>
                <c:formatCode>0</c:formatCode>
                <c:ptCount val="5"/>
                <c:pt idx="0">
                  <c:v>1.6502790500148998</c:v>
                </c:pt>
                <c:pt idx="1">
                  <c:v>1.9452583000216701</c:v>
                </c:pt>
                <c:pt idx="2">
                  <c:v>2.15183440318182</c:v>
                </c:pt>
                <c:pt idx="3">
                  <c:v>2.5165083637283301</c:v>
                </c:pt>
                <c:pt idx="4">
                  <c:v>2.69755211795571</c:v>
                </c:pt>
              </c:numCache>
            </c:numRef>
          </c:val>
          <c:extLst>
            <c:ext xmlns:c16="http://schemas.microsoft.com/office/drawing/2014/chart" uri="{C3380CC4-5D6E-409C-BE32-E72D297353CC}">
              <c16:uniqueId val="{00000002-7F41-41F7-8B00-D6FE82B158A8}"/>
            </c:ext>
          </c:extLst>
        </c:ser>
        <c:ser>
          <c:idx val="3"/>
          <c:order val="3"/>
          <c:tx>
            <c:strRef>
              <c:f>'Figure 2.5.'!$AC$34</c:f>
              <c:strCache>
                <c:ptCount val="1"/>
                <c:pt idx="0">
                  <c:v>Other consumption categories </c:v>
                </c:pt>
              </c:strCache>
            </c:strRef>
          </c:tx>
          <c:spPr>
            <a:solidFill>
              <a:srgbClr val="00B050"/>
            </a:solidFill>
            <a:ln>
              <a:noFill/>
            </a:ln>
            <a:effectLst/>
          </c:spPr>
          <c:invertIfNegative val="0"/>
          <c:cat>
            <c:strRef>
              <c:f>'Figure 2.5.'!$Y$35:$Y$39</c:f>
              <c:strCache>
                <c:ptCount val="5"/>
                <c:pt idx="0">
                  <c:v>Poorest</c:v>
                </c:pt>
                <c:pt idx="1">
                  <c:v>2</c:v>
                </c:pt>
                <c:pt idx="2">
                  <c:v>3</c:v>
                </c:pt>
                <c:pt idx="3">
                  <c:v>4</c:v>
                </c:pt>
                <c:pt idx="4">
                  <c:v>Richest</c:v>
                </c:pt>
              </c:strCache>
            </c:strRef>
          </c:cat>
          <c:val>
            <c:numRef>
              <c:f>'Figure 2.5.'!$AC$35:$AC$39</c:f>
              <c:numCache>
                <c:formatCode>0</c:formatCode>
                <c:ptCount val="5"/>
                <c:pt idx="0">
                  <c:v>1.2507528825012799</c:v>
                </c:pt>
                <c:pt idx="1">
                  <c:v>1.4204871125173499</c:v>
                </c:pt>
                <c:pt idx="2">
                  <c:v>1.53073809596402</c:v>
                </c:pt>
                <c:pt idx="3">
                  <c:v>1.6586267862618902</c:v>
                </c:pt>
                <c:pt idx="4">
                  <c:v>1.9131919125264099</c:v>
                </c:pt>
              </c:numCache>
            </c:numRef>
          </c:val>
          <c:extLst>
            <c:ext xmlns:c16="http://schemas.microsoft.com/office/drawing/2014/chart" uri="{C3380CC4-5D6E-409C-BE32-E72D297353CC}">
              <c16:uniqueId val="{00000003-7F41-41F7-8B00-D6FE82B158A8}"/>
            </c:ext>
          </c:extLst>
        </c:ser>
        <c:dLbls>
          <c:showLegendKey val="0"/>
          <c:showVal val="0"/>
          <c:showCatName val="0"/>
          <c:showSerName val="0"/>
          <c:showPercent val="0"/>
          <c:showBubbleSize val="0"/>
        </c:dLbls>
        <c:gapWidth val="62"/>
        <c:overlap val="100"/>
        <c:axId val="976456815"/>
        <c:axId val="976458479"/>
      </c:barChart>
      <c:lineChart>
        <c:grouping val="standard"/>
        <c:varyColors val="0"/>
        <c:ser>
          <c:idx val="4"/>
          <c:order val="4"/>
          <c:tx>
            <c:strRef>
              <c:f>'Figure 2.5.'!$AE$34</c:f>
              <c:strCache>
                <c:ptCount val="1"/>
                <c:pt idx="0">
                  <c:v>Annual inflation </c:v>
                </c:pt>
              </c:strCache>
            </c:strRef>
          </c:tx>
          <c:spPr>
            <a:ln w="28575" cap="rnd">
              <a:solidFill>
                <a:srgbClr val="FF0000"/>
              </a:solidFill>
              <a:prstDash val="dash"/>
              <a:round/>
            </a:ln>
            <a:effectLst/>
          </c:spPr>
          <c:marker>
            <c:symbol val="none"/>
          </c:marker>
          <c:cat>
            <c:strRef>
              <c:f>'Figure 2.5.'!$Y$35:$Y$39</c:f>
              <c:strCache>
                <c:ptCount val="5"/>
                <c:pt idx="0">
                  <c:v>Poorest</c:v>
                </c:pt>
                <c:pt idx="1">
                  <c:v>2</c:v>
                </c:pt>
                <c:pt idx="2">
                  <c:v>3</c:v>
                </c:pt>
                <c:pt idx="3">
                  <c:v>4</c:v>
                </c:pt>
                <c:pt idx="4">
                  <c:v>Richest</c:v>
                </c:pt>
              </c:strCache>
            </c:strRef>
          </c:cat>
          <c:val>
            <c:numRef>
              <c:f>'Figure 2.5.'!$AE$35:$AE$39</c:f>
              <c:numCache>
                <c:formatCode>0</c:formatCode>
                <c:ptCount val="5"/>
                <c:pt idx="0">
                  <c:v>6.0699999999999994</c:v>
                </c:pt>
                <c:pt idx="1">
                  <c:v>6.0699999999999994</c:v>
                </c:pt>
                <c:pt idx="2">
                  <c:v>6.0699999999999994</c:v>
                </c:pt>
                <c:pt idx="3">
                  <c:v>6.0699999999999994</c:v>
                </c:pt>
                <c:pt idx="4">
                  <c:v>6.0699999999999994</c:v>
                </c:pt>
              </c:numCache>
            </c:numRef>
          </c:val>
          <c:smooth val="0"/>
          <c:extLst>
            <c:ext xmlns:c16="http://schemas.microsoft.com/office/drawing/2014/chart" uri="{C3380CC4-5D6E-409C-BE32-E72D297353CC}">
              <c16:uniqueId val="{00000004-7F41-41F7-8B00-D6FE82B158A8}"/>
            </c:ext>
          </c:extLst>
        </c:ser>
        <c:dLbls>
          <c:showLegendKey val="0"/>
          <c:showVal val="0"/>
          <c:showCatName val="0"/>
          <c:showSerName val="0"/>
          <c:showPercent val="0"/>
          <c:showBubbleSize val="0"/>
        </c:dLbls>
        <c:marker val="1"/>
        <c:smooth val="0"/>
        <c:axId val="976456815"/>
        <c:axId val="976458479"/>
      </c:lineChart>
      <c:catAx>
        <c:axId val="976456815"/>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76458479"/>
        <c:crosses val="autoZero"/>
        <c:auto val="1"/>
        <c:lblAlgn val="ctr"/>
        <c:lblOffset val="100"/>
        <c:noMultiLvlLbl val="0"/>
      </c:catAx>
      <c:valAx>
        <c:axId val="976458479"/>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976456815"/>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0710476404562"/>
          <c:y val="3.3002107118444909E-2"/>
          <c:w val="0.8779539823877156"/>
          <c:h val="0.87359216674315132"/>
        </c:manualLayout>
      </c:layout>
      <c:barChart>
        <c:barDir val="col"/>
        <c:grouping val="stacked"/>
        <c:varyColors val="0"/>
        <c:ser>
          <c:idx val="0"/>
          <c:order val="0"/>
          <c:tx>
            <c:strRef>
              <c:f>'Figure 2.5.'!$Z$41</c:f>
              <c:strCache>
                <c:ptCount val="1"/>
                <c:pt idx="0">
                  <c:v>Food and nonalcoholic beverages</c:v>
                </c:pt>
              </c:strCache>
            </c:strRef>
          </c:tx>
          <c:spPr>
            <a:solidFill>
              <a:schemeClr val="accent1"/>
            </a:solidFill>
            <a:ln>
              <a:noFill/>
            </a:ln>
            <a:effectLst/>
          </c:spPr>
          <c:invertIfNegative val="0"/>
          <c:cat>
            <c:strRef>
              <c:f>'Figure 2.5.'!$Y$42:$Y$46</c:f>
              <c:strCache>
                <c:ptCount val="5"/>
                <c:pt idx="0">
                  <c:v>Poorest</c:v>
                </c:pt>
                <c:pt idx="1">
                  <c:v>2</c:v>
                </c:pt>
                <c:pt idx="2">
                  <c:v>3</c:v>
                </c:pt>
                <c:pt idx="3">
                  <c:v>4</c:v>
                </c:pt>
                <c:pt idx="4">
                  <c:v>Richest</c:v>
                </c:pt>
              </c:strCache>
            </c:strRef>
          </c:cat>
          <c:val>
            <c:numRef>
              <c:f>'Figure 2.5.'!$Z$42:$Z$46</c:f>
              <c:numCache>
                <c:formatCode>0</c:formatCode>
                <c:ptCount val="5"/>
                <c:pt idx="0">
                  <c:v>1.42969984730275</c:v>
                </c:pt>
                <c:pt idx="1">
                  <c:v>1.46484464057324</c:v>
                </c:pt>
                <c:pt idx="2">
                  <c:v>1.59677799877745</c:v>
                </c:pt>
                <c:pt idx="3">
                  <c:v>1.52795972870053</c:v>
                </c:pt>
                <c:pt idx="4">
                  <c:v>1.37302183668394</c:v>
                </c:pt>
              </c:numCache>
            </c:numRef>
          </c:val>
          <c:extLst>
            <c:ext xmlns:c16="http://schemas.microsoft.com/office/drawing/2014/chart" uri="{C3380CC4-5D6E-409C-BE32-E72D297353CC}">
              <c16:uniqueId val="{00000000-2A6C-4FB7-9A5E-3E1F0A60AC8A}"/>
            </c:ext>
          </c:extLst>
        </c:ser>
        <c:ser>
          <c:idx val="1"/>
          <c:order val="1"/>
          <c:tx>
            <c:strRef>
              <c:f>'Figure 2.5.'!$AA$41</c:f>
              <c:strCache>
                <c:ptCount val="1"/>
                <c:pt idx="0">
                  <c:v>Housing, water, electricity, gas and other fuels</c:v>
                </c:pt>
              </c:strCache>
            </c:strRef>
          </c:tx>
          <c:spPr>
            <a:solidFill>
              <a:schemeClr val="accent2"/>
            </a:solidFill>
            <a:ln>
              <a:noFill/>
            </a:ln>
            <a:effectLst/>
          </c:spPr>
          <c:invertIfNegative val="0"/>
          <c:cat>
            <c:strRef>
              <c:f>'Figure 2.5.'!$Y$42:$Y$46</c:f>
              <c:strCache>
                <c:ptCount val="5"/>
                <c:pt idx="0">
                  <c:v>Poorest</c:v>
                </c:pt>
                <c:pt idx="1">
                  <c:v>2</c:v>
                </c:pt>
                <c:pt idx="2">
                  <c:v>3</c:v>
                </c:pt>
                <c:pt idx="3">
                  <c:v>4</c:v>
                </c:pt>
                <c:pt idx="4">
                  <c:v>Richest</c:v>
                </c:pt>
              </c:strCache>
            </c:strRef>
          </c:cat>
          <c:val>
            <c:numRef>
              <c:f>'Figure 2.5.'!$AA$42:$AA$46</c:f>
              <c:numCache>
                <c:formatCode>0</c:formatCode>
                <c:ptCount val="5"/>
                <c:pt idx="0">
                  <c:v>3.0716265734455099</c:v>
                </c:pt>
                <c:pt idx="1">
                  <c:v>2.4078542606979201</c:v>
                </c:pt>
                <c:pt idx="2">
                  <c:v>1.8957608489918498</c:v>
                </c:pt>
                <c:pt idx="3">
                  <c:v>1.50311762002143</c:v>
                </c:pt>
                <c:pt idx="4">
                  <c:v>1.0878577990504501</c:v>
                </c:pt>
              </c:numCache>
            </c:numRef>
          </c:val>
          <c:extLst>
            <c:ext xmlns:c16="http://schemas.microsoft.com/office/drawing/2014/chart" uri="{C3380CC4-5D6E-409C-BE32-E72D297353CC}">
              <c16:uniqueId val="{00000001-2A6C-4FB7-9A5E-3E1F0A60AC8A}"/>
            </c:ext>
          </c:extLst>
        </c:ser>
        <c:ser>
          <c:idx val="2"/>
          <c:order val="2"/>
          <c:tx>
            <c:strRef>
              <c:f>'Figure 2.5.'!$AB$41</c:f>
              <c:strCache>
                <c:ptCount val="1"/>
                <c:pt idx="0">
                  <c:v>Transport</c:v>
                </c:pt>
              </c:strCache>
            </c:strRef>
          </c:tx>
          <c:spPr>
            <a:solidFill>
              <a:schemeClr val="accent3"/>
            </a:solidFill>
            <a:ln>
              <a:noFill/>
            </a:ln>
            <a:effectLst/>
          </c:spPr>
          <c:invertIfNegative val="0"/>
          <c:cat>
            <c:strRef>
              <c:f>'Figure 2.5.'!$Y$42:$Y$46</c:f>
              <c:strCache>
                <c:ptCount val="5"/>
                <c:pt idx="0">
                  <c:v>Poorest</c:v>
                </c:pt>
                <c:pt idx="1">
                  <c:v>2</c:v>
                </c:pt>
                <c:pt idx="2">
                  <c:v>3</c:v>
                </c:pt>
                <c:pt idx="3">
                  <c:v>4</c:v>
                </c:pt>
                <c:pt idx="4">
                  <c:v>Richest</c:v>
                </c:pt>
              </c:strCache>
            </c:strRef>
          </c:cat>
          <c:val>
            <c:numRef>
              <c:f>'Figure 2.5.'!$AB$42:$AB$46</c:f>
              <c:numCache>
                <c:formatCode>0</c:formatCode>
                <c:ptCount val="5"/>
                <c:pt idx="0">
                  <c:v>2.03962738783251</c:v>
                </c:pt>
                <c:pt idx="1">
                  <c:v>2.8872070857995298</c:v>
                </c:pt>
                <c:pt idx="2">
                  <c:v>3.2450200317587696</c:v>
                </c:pt>
                <c:pt idx="3">
                  <c:v>3.4812329630126695</c:v>
                </c:pt>
                <c:pt idx="4">
                  <c:v>4.12981352722396</c:v>
                </c:pt>
              </c:numCache>
            </c:numRef>
          </c:val>
          <c:extLst>
            <c:ext xmlns:c16="http://schemas.microsoft.com/office/drawing/2014/chart" uri="{C3380CC4-5D6E-409C-BE32-E72D297353CC}">
              <c16:uniqueId val="{00000002-2A6C-4FB7-9A5E-3E1F0A60AC8A}"/>
            </c:ext>
          </c:extLst>
        </c:ser>
        <c:ser>
          <c:idx val="3"/>
          <c:order val="3"/>
          <c:tx>
            <c:strRef>
              <c:f>'Figure 2.5.'!$AC$41</c:f>
              <c:strCache>
                <c:ptCount val="1"/>
                <c:pt idx="0">
                  <c:v>Other consumption categories </c:v>
                </c:pt>
              </c:strCache>
            </c:strRef>
          </c:tx>
          <c:spPr>
            <a:solidFill>
              <a:srgbClr val="00B050"/>
            </a:solidFill>
            <a:ln>
              <a:noFill/>
            </a:ln>
            <a:effectLst/>
          </c:spPr>
          <c:invertIfNegative val="0"/>
          <c:cat>
            <c:strRef>
              <c:f>'Figure 2.5.'!$Y$42:$Y$46</c:f>
              <c:strCache>
                <c:ptCount val="5"/>
                <c:pt idx="0">
                  <c:v>Poorest</c:v>
                </c:pt>
                <c:pt idx="1">
                  <c:v>2</c:v>
                </c:pt>
                <c:pt idx="2">
                  <c:v>3</c:v>
                </c:pt>
                <c:pt idx="3">
                  <c:v>4</c:v>
                </c:pt>
                <c:pt idx="4">
                  <c:v>Richest</c:v>
                </c:pt>
              </c:strCache>
            </c:strRef>
          </c:cat>
          <c:val>
            <c:numRef>
              <c:f>'Figure 2.5.'!$AC$42:$AC$46</c:f>
              <c:numCache>
                <c:formatCode>0</c:formatCode>
                <c:ptCount val="5"/>
                <c:pt idx="0">
                  <c:v>1.3053454615009201</c:v>
                </c:pt>
                <c:pt idx="1">
                  <c:v>1.39313934300762</c:v>
                </c:pt>
                <c:pt idx="2">
                  <c:v>1.48224168753526</c:v>
                </c:pt>
                <c:pt idx="3">
                  <c:v>1.5749297589525499</c:v>
                </c:pt>
                <c:pt idx="4">
                  <c:v>1.7149506618009298</c:v>
                </c:pt>
              </c:numCache>
            </c:numRef>
          </c:val>
          <c:extLst>
            <c:ext xmlns:c16="http://schemas.microsoft.com/office/drawing/2014/chart" uri="{C3380CC4-5D6E-409C-BE32-E72D297353CC}">
              <c16:uniqueId val="{00000003-2A6C-4FB7-9A5E-3E1F0A60AC8A}"/>
            </c:ext>
          </c:extLst>
        </c:ser>
        <c:dLbls>
          <c:showLegendKey val="0"/>
          <c:showVal val="0"/>
          <c:showCatName val="0"/>
          <c:showSerName val="0"/>
          <c:showPercent val="0"/>
          <c:showBubbleSize val="0"/>
        </c:dLbls>
        <c:gapWidth val="62"/>
        <c:overlap val="100"/>
        <c:axId val="540718703"/>
        <c:axId val="540703727"/>
      </c:barChart>
      <c:lineChart>
        <c:grouping val="standard"/>
        <c:varyColors val="0"/>
        <c:ser>
          <c:idx val="4"/>
          <c:order val="4"/>
          <c:tx>
            <c:strRef>
              <c:f>'Figure 2.5.'!$AE$41</c:f>
              <c:strCache>
                <c:ptCount val="1"/>
                <c:pt idx="0">
                  <c:v>Annual inflation </c:v>
                </c:pt>
              </c:strCache>
            </c:strRef>
          </c:tx>
          <c:spPr>
            <a:ln w="28575" cap="rnd">
              <a:solidFill>
                <a:srgbClr val="FF0000"/>
              </a:solidFill>
              <a:prstDash val="dash"/>
              <a:round/>
            </a:ln>
            <a:effectLst/>
          </c:spPr>
          <c:marker>
            <c:symbol val="none"/>
          </c:marker>
          <c:cat>
            <c:strRef>
              <c:f>'Figure 2.5.'!$Y$42:$Y$46</c:f>
              <c:strCache>
                <c:ptCount val="5"/>
                <c:pt idx="0">
                  <c:v>Poorest</c:v>
                </c:pt>
                <c:pt idx="1">
                  <c:v>2</c:v>
                </c:pt>
                <c:pt idx="2">
                  <c:v>3</c:v>
                </c:pt>
                <c:pt idx="3">
                  <c:v>4</c:v>
                </c:pt>
                <c:pt idx="4">
                  <c:v>Richest</c:v>
                </c:pt>
              </c:strCache>
            </c:strRef>
          </c:cat>
          <c:val>
            <c:numRef>
              <c:f>'Figure 2.5.'!$AE$42:$AE$46</c:f>
              <c:numCache>
                <c:formatCode>0</c:formatCode>
                <c:ptCount val="5"/>
                <c:pt idx="0">
                  <c:v>7.7299999999999995</c:v>
                </c:pt>
                <c:pt idx="1">
                  <c:v>7.7299999999999995</c:v>
                </c:pt>
                <c:pt idx="2">
                  <c:v>7.7299999999999995</c:v>
                </c:pt>
                <c:pt idx="3">
                  <c:v>7.7299999999999995</c:v>
                </c:pt>
                <c:pt idx="4">
                  <c:v>7.7299999999999995</c:v>
                </c:pt>
              </c:numCache>
            </c:numRef>
          </c:val>
          <c:smooth val="0"/>
          <c:extLst>
            <c:ext xmlns:c16="http://schemas.microsoft.com/office/drawing/2014/chart" uri="{C3380CC4-5D6E-409C-BE32-E72D297353CC}">
              <c16:uniqueId val="{00000004-2A6C-4FB7-9A5E-3E1F0A60AC8A}"/>
            </c:ext>
          </c:extLst>
        </c:ser>
        <c:dLbls>
          <c:showLegendKey val="0"/>
          <c:showVal val="0"/>
          <c:showCatName val="0"/>
          <c:showSerName val="0"/>
          <c:showPercent val="0"/>
          <c:showBubbleSize val="0"/>
        </c:dLbls>
        <c:marker val="1"/>
        <c:smooth val="0"/>
        <c:axId val="540718703"/>
        <c:axId val="540703727"/>
      </c:lineChart>
      <c:catAx>
        <c:axId val="540718703"/>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540703727"/>
        <c:crosses val="autoZero"/>
        <c:auto val="1"/>
        <c:lblAlgn val="ctr"/>
        <c:lblOffset val="100"/>
        <c:noMultiLvlLbl val="0"/>
      </c:catAx>
      <c:valAx>
        <c:axId val="540703727"/>
        <c:scaling>
          <c:orientation val="minMax"/>
          <c:max val="12"/>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mn-cs"/>
              </a:defRPr>
            </a:pPr>
            <a:endParaRPr lang="en-US"/>
          </a:p>
        </c:txPr>
        <c:crossAx val="540718703"/>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16372314096419"/>
          <c:y val="0.2360640722676273"/>
          <c:w val="0.83211087737913469"/>
          <c:h val="0.72202600185877208"/>
        </c:manualLayout>
      </c:layout>
      <c:barChart>
        <c:barDir val="col"/>
        <c:grouping val="stacked"/>
        <c:varyColors val="0"/>
        <c:ser>
          <c:idx val="0"/>
          <c:order val="0"/>
          <c:tx>
            <c:strRef>
              <c:f>'Figure 2.6.'!$T$3</c:f>
              <c:strCache>
                <c:ptCount val="1"/>
                <c:pt idx="0">
                  <c:v>Income</c:v>
                </c:pt>
              </c:strCache>
            </c:strRef>
          </c:tx>
          <c:spPr>
            <a:solidFill>
              <a:schemeClr val="accent1">
                <a:lumMod val="75000"/>
              </a:schemeClr>
            </a:solidFill>
            <a:ln>
              <a:noFill/>
            </a:ln>
            <a:effectLst/>
          </c:spPr>
          <c:invertIfNegative val="0"/>
          <c:cat>
            <c:multiLvlStrRef>
              <c:f>'Figure 2.6.'!$R$4:$S$8</c:f>
              <c:multiLvlStrCache>
                <c:ptCount val="5"/>
                <c:lvl>
                  <c:pt idx="0">
                    <c:v>Poorest</c:v>
                  </c:pt>
                  <c:pt idx="1">
                    <c:v>2</c:v>
                  </c:pt>
                  <c:pt idx="2">
                    <c:v>3</c:v>
                  </c:pt>
                  <c:pt idx="3">
                    <c:v>4</c:v>
                  </c:pt>
                  <c:pt idx="4">
                    <c:v>Richest</c:v>
                  </c:pt>
                </c:lvl>
                <c:lvl>
                  <c:pt idx="0">
                    <c:v>1. Kenya</c:v>
                  </c:pt>
                </c:lvl>
              </c:multiLvlStrCache>
            </c:multiLvlStrRef>
          </c:cat>
          <c:val>
            <c:numRef>
              <c:f>'Figure 2.6.'!$T$4:$T$8</c:f>
              <c:numCache>
                <c:formatCode>0.00</c:formatCode>
                <c:ptCount val="5"/>
                <c:pt idx="0">
                  <c:v>-1.0464450214124825</c:v>
                </c:pt>
                <c:pt idx="1">
                  <c:v>-1.0975938484335293</c:v>
                </c:pt>
                <c:pt idx="2">
                  <c:v>-1.0698919412140935</c:v>
                </c:pt>
                <c:pt idx="3">
                  <c:v>-1.1129386750123282</c:v>
                </c:pt>
                <c:pt idx="4">
                  <c:v>-1.3520673582722365</c:v>
                </c:pt>
              </c:numCache>
            </c:numRef>
          </c:val>
          <c:extLst>
            <c:ext xmlns:c16="http://schemas.microsoft.com/office/drawing/2014/chart" uri="{C3380CC4-5D6E-409C-BE32-E72D297353CC}">
              <c16:uniqueId val="{00000000-FBD7-4BDC-A9BF-50D1606C42AE}"/>
            </c:ext>
          </c:extLst>
        </c:ser>
        <c:ser>
          <c:idx val="1"/>
          <c:order val="1"/>
          <c:tx>
            <c:strRef>
              <c:f>'Figure 2.6.'!$U$3</c:f>
              <c:strCache>
                <c:ptCount val="1"/>
                <c:pt idx="0">
                  <c:v>Consumption</c:v>
                </c:pt>
              </c:strCache>
            </c:strRef>
          </c:tx>
          <c:spPr>
            <a:solidFill>
              <a:srgbClr val="FF0000"/>
            </a:solidFill>
            <a:ln>
              <a:noFill/>
            </a:ln>
            <a:effectLst/>
          </c:spPr>
          <c:invertIfNegative val="0"/>
          <c:cat>
            <c:multiLvlStrRef>
              <c:f>'Figure 2.6.'!$R$4:$S$8</c:f>
              <c:multiLvlStrCache>
                <c:ptCount val="5"/>
                <c:lvl>
                  <c:pt idx="0">
                    <c:v>Poorest</c:v>
                  </c:pt>
                  <c:pt idx="1">
                    <c:v>2</c:v>
                  </c:pt>
                  <c:pt idx="2">
                    <c:v>3</c:v>
                  </c:pt>
                  <c:pt idx="3">
                    <c:v>4</c:v>
                  </c:pt>
                  <c:pt idx="4">
                    <c:v>Richest</c:v>
                  </c:pt>
                </c:lvl>
                <c:lvl>
                  <c:pt idx="0">
                    <c:v>1. Kenya</c:v>
                  </c:pt>
                </c:lvl>
              </c:multiLvlStrCache>
            </c:multiLvlStrRef>
          </c:cat>
          <c:val>
            <c:numRef>
              <c:f>'Figure 2.6.'!$U$4:$U$8</c:f>
              <c:numCache>
                <c:formatCode>0.00</c:formatCode>
                <c:ptCount val="5"/>
                <c:pt idx="0">
                  <c:v>-1.6910519425160813</c:v>
                </c:pt>
                <c:pt idx="1">
                  <c:v>-1.4253132175535681</c:v>
                </c:pt>
                <c:pt idx="2">
                  <c:v>-0.811447624809848</c:v>
                </c:pt>
                <c:pt idx="3">
                  <c:v>-0.26650870317141845</c:v>
                </c:pt>
                <c:pt idx="4">
                  <c:v>0.89980220452825876</c:v>
                </c:pt>
              </c:numCache>
            </c:numRef>
          </c:val>
          <c:extLst>
            <c:ext xmlns:c16="http://schemas.microsoft.com/office/drawing/2014/chart" uri="{C3380CC4-5D6E-409C-BE32-E72D297353CC}">
              <c16:uniqueId val="{00000001-FBD7-4BDC-A9BF-50D1606C42AE}"/>
            </c:ext>
          </c:extLst>
        </c:ser>
        <c:dLbls>
          <c:showLegendKey val="0"/>
          <c:showVal val="0"/>
          <c:showCatName val="0"/>
          <c:showSerName val="0"/>
          <c:showPercent val="0"/>
          <c:showBubbleSize val="0"/>
        </c:dLbls>
        <c:gapWidth val="57"/>
        <c:overlap val="100"/>
        <c:axId val="1427860752"/>
        <c:axId val="1427848272"/>
      </c:barChart>
      <c:lineChart>
        <c:grouping val="standard"/>
        <c:varyColors val="0"/>
        <c:ser>
          <c:idx val="2"/>
          <c:order val="2"/>
          <c:tx>
            <c:strRef>
              <c:f>'Figure 2.6.'!$V$3</c:f>
              <c:strCache>
                <c:ptCount val="1"/>
                <c:pt idx="0">
                  <c:v>Total</c:v>
                </c:pt>
              </c:strCache>
            </c:strRef>
          </c:tx>
          <c:spPr>
            <a:ln w="25400" cap="rnd">
              <a:noFill/>
              <a:round/>
            </a:ln>
            <a:effectLst/>
          </c:spPr>
          <c:marker>
            <c:symbol val="diamond"/>
            <c:size val="7"/>
            <c:spPr>
              <a:solidFill>
                <a:schemeClr val="tx1"/>
              </a:solidFill>
              <a:ln w="9525">
                <a:noFill/>
              </a:ln>
              <a:effectLst/>
            </c:spPr>
          </c:marker>
          <c:cat>
            <c:strRef>
              <c:f>'Figure 2.6.'!$S$4:$S$8</c:f>
              <c:strCache>
                <c:ptCount val="5"/>
                <c:pt idx="0">
                  <c:v>Poorest</c:v>
                </c:pt>
                <c:pt idx="1">
                  <c:v>2</c:v>
                </c:pt>
                <c:pt idx="2">
                  <c:v>3</c:v>
                </c:pt>
                <c:pt idx="3">
                  <c:v>4</c:v>
                </c:pt>
                <c:pt idx="4">
                  <c:v>Richest</c:v>
                </c:pt>
              </c:strCache>
            </c:strRef>
          </c:cat>
          <c:val>
            <c:numRef>
              <c:f>'Figure 2.6.'!$V$4:$V$8</c:f>
              <c:numCache>
                <c:formatCode>0.00</c:formatCode>
                <c:ptCount val="5"/>
                <c:pt idx="0">
                  <c:v>-2.7374969639285638</c:v>
                </c:pt>
                <c:pt idx="1">
                  <c:v>-2.5229070659870971</c:v>
                </c:pt>
                <c:pt idx="2">
                  <c:v>-1.8813395660239416</c:v>
                </c:pt>
                <c:pt idx="3">
                  <c:v>-1.3794473781837469</c:v>
                </c:pt>
                <c:pt idx="4">
                  <c:v>-0.45226515374397758</c:v>
                </c:pt>
              </c:numCache>
            </c:numRef>
          </c:val>
          <c:smooth val="0"/>
          <c:extLst>
            <c:ext xmlns:c16="http://schemas.microsoft.com/office/drawing/2014/chart" uri="{C3380CC4-5D6E-409C-BE32-E72D297353CC}">
              <c16:uniqueId val="{00000002-FBD7-4BDC-A9BF-50D1606C42AE}"/>
            </c:ext>
          </c:extLst>
        </c:ser>
        <c:dLbls>
          <c:showLegendKey val="0"/>
          <c:showVal val="0"/>
          <c:showCatName val="0"/>
          <c:showSerName val="0"/>
          <c:showPercent val="0"/>
          <c:showBubbleSize val="0"/>
        </c:dLbls>
        <c:marker val="1"/>
        <c:smooth val="0"/>
        <c:axId val="1427860752"/>
        <c:axId val="1427848272"/>
      </c:lineChart>
      <c:catAx>
        <c:axId val="1427860752"/>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1427848272"/>
        <c:crosses val="autoZero"/>
        <c:auto val="1"/>
        <c:lblAlgn val="ctr"/>
        <c:lblOffset val="100"/>
        <c:noMultiLvlLbl val="0"/>
      </c:catAx>
      <c:valAx>
        <c:axId val="1427848272"/>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1427860752"/>
        <c:crosses val="autoZero"/>
        <c:crossBetween val="between"/>
        <c:majorUnit val="2"/>
      </c:valAx>
      <c:spPr>
        <a:noFill/>
        <a:ln w="6350">
          <a:solidFill>
            <a:schemeClr val="tx1"/>
          </a:solidFill>
        </a:ln>
        <a:effectLst/>
      </c:spPr>
    </c:plotArea>
    <c:legend>
      <c:legendPos val="b"/>
      <c:layout>
        <c:manualLayout>
          <c:xMode val="edge"/>
          <c:yMode val="edge"/>
          <c:x val="0.17927751119218391"/>
          <c:y val="0.79662607399469909"/>
          <c:w val="0.76641299752370617"/>
          <c:h val="0.10358838821101404"/>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aseline="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36347367316142"/>
          <c:y val="0.23886821768818742"/>
          <c:w val="0.81159948835917695"/>
          <c:h val="0.71963291396329832"/>
        </c:manualLayout>
      </c:layout>
      <c:barChart>
        <c:barDir val="col"/>
        <c:grouping val="stacked"/>
        <c:varyColors val="0"/>
        <c:ser>
          <c:idx val="0"/>
          <c:order val="0"/>
          <c:tx>
            <c:strRef>
              <c:f>'Figure 2.6.'!$T$3</c:f>
              <c:strCache>
                <c:ptCount val="1"/>
                <c:pt idx="0">
                  <c:v>Income</c:v>
                </c:pt>
              </c:strCache>
            </c:strRef>
          </c:tx>
          <c:spPr>
            <a:solidFill>
              <a:schemeClr val="accent1">
                <a:lumMod val="75000"/>
              </a:schemeClr>
            </a:solidFill>
            <a:ln>
              <a:noFill/>
            </a:ln>
            <a:effectLst/>
          </c:spPr>
          <c:invertIfNegative val="0"/>
          <c:cat>
            <c:multiLvlStrRef>
              <c:f>'Figure 2.6.'!$R$10:$S$14</c:f>
              <c:multiLvlStrCache>
                <c:ptCount val="5"/>
                <c:lvl>
                  <c:pt idx="0">
                    <c:v>Poorest</c:v>
                  </c:pt>
                  <c:pt idx="1">
                    <c:v>2</c:v>
                  </c:pt>
                  <c:pt idx="2">
                    <c:v>3</c:v>
                  </c:pt>
                  <c:pt idx="3">
                    <c:v>4</c:v>
                  </c:pt>
                  <c:pt idx="4">
                    <c:v>Richest</c:v>
                  </c:pt>
                </c:lvl>
                <c:lvl>
                  <c:pt idx="0">
                    <c:v>2. Mexico</c:v>
                  </c:pt>
                </c:lvl>
              </c:multiLvlStrCache>
            </c:multiLvlStrRef>
          </c:cat>
          <c:val>
            <c:numRef>
              <c:f>'Figure 2.6.'!$T$10:$T$14</c:f>
              <c:numCache>
                <c:formatCode>0.00</c:formatCode>
                <c:ptCount val="5"/>
                <c:pt idx="0">
                  <c:v>1.4627114161357089</c:v>
                </c:pt>
                <c:pt idx="1">
                  <c:v>1.0645535402359645</c:v>
                </c:pt>
                <c:pt idx="2">
                  <c:v>1.3157421672802558</c:v>
                </c:pt>
                <c:pt idx="3">
                  <c:v>1.1983988138971484</c:v>
                </c:pt>
                <c:pt idx="4">
                  <c:v>1.6883143486823813</c:v>
                </c:pt>
              </c:numCache>
            </c:numRef>
          </c:val>
          <c:extLst>
            <c:ext xmlns:c16="http://schemas.microsoft.com/office/drawing/2014/chart" uri="{C3380CC4-5D6E-409C-BE32-E72D297353CC}">
              <c16:uniqueId val="{00000000-4C64-4559-AF3F-D2D5D059A2BC}"/>
            </c:ext>
          </c:extLst>
        </c:ser>
        <c:ser>
          <c:idx val="1"/>
          <c:order val="1"/>
          <c:tx>
            <c:strRef>
              <c:f>'Figure 2.6.'!$U$3</c:f>
              <c:strCache>
                <c:ptCount val="1"/>
                <c:pt idx="0">
                  <c:v>Consumption</c:v>
                </c:pt>
              </c:strCache>
            </c:strRef>
          </c:tx>
          <c:spPr>
            <a:solidFill>
              <a:srgbClr val="FF0000"/>
            </a:solidFill>
            <a:ln>
              <a:noFill/>
            </a:ln>
            <a:effectLst/>
          </c:spPr>
          <c:invertIfNegative val="0"/>
          <c:cat>
            <c:multiLvlStrRef>
              <c:f>'Figure 2.6.'!$R$10:$S$14</c:f>
              <c:multiLvlStrCache>
                <c:ptCount val="5"/>
                <c:lvl>
                  <c:pt idx="0">
                    <c:v>Poorest</c:v>
                  </c:pt>
                  <c:pt idx="1">
                    <c:v>2</c:v>
                  </c:pt>
                  <c:pt idx="2">
                    <c:v>3</c:v>
                  </c:pt>
                  <c:pt idx="3">
                    <c:v>4</c:v>
                  </c:pt>
                  <c:pt idx="4">
                    <c:v>Richest</c:v>
                  </c:pt>
                </c:lvl>
                <c:lvl>
                  <c:pt idx="0">
                    <c:v>2. Mexico</c:v>
                  </c:pt>
                </c:lvl>
              </c:multiLvlStrCache>
            </c:multiLvlStrRef>
          </c:cat>
          <c:val>
            <c:numRef>
              <c:f>'Figure 2.6.'!$U$10:$U$14</c:f>
              <c:numCache>
                <c:formatCode>0.00</c:formatCode>
                <c:ptCount val="5"/>
                <c:pt idx="0">
                  <c:v>-1.4555308307537826</c:v>
                </c:pt>
                <c:pt idx="1">
                  <c:v>-0.77007742702771587</c:v>
                </c:pt>
                <c:pt idx="2">
                  <c:v>-0.44970417036809135</c:v>
                </c:pt>
                <c:pt idx="3">
                  <c:v>-4.9642269607991868E-2</c:v>
                </c:pt>
                <c:pt idx="4">
                  <c:v>0.5969765067272812</c:v>
                </c:pt>
              </c:numCache>
            </c:numRef>
          </c:val>
          <c:extLst>
            <c:ext xmlns:c16="http://schemas.microsoft.com/office/drawing/2014/chart" uri="{C3380CC4-5D6E-409C-BE32-E72D297353CC}">
              <c16:uniqueId val="{00000001-4C64-4559-AF3F-D2D5D059A2BC}"/>
            </c:ext>
          </c:extLst>
        </c:ser>
        <c:dLbls>
          <c:showLegendKey val="0"/>
          <c:showVal val="0"/>
          <c:showCatName val="0"/>
          <c:showSerName val="0"/>
          <c:showPercent val="0"/>
          <c:showBubbleSize val="0"/>
        </c:dLbls>
        <c:gapWidth val="57"/>
        <c:overlap val="100"/>
        <c:axId val="227482271"/>
        <c:axId val="227499327"/>
      </c:barChart>
      <c:lineChart>
        <c:grouping val="standard"/>
        <c:varyColors val="0"/>
        <c:ser>
          <c:idx val="2"/>
          <c:order val="2"/>
          <c:tx>
            <c:strRef>
              <c:f>'Figure 2.6.'!$V$3</c:f>
              <c:strCache>
                <c:ptCount val="1"/>
                <c:pt idx="0">
                  <c:v>Total</c:v>
                </c:pt>
              </c:strCache>
            </c:strRef>
          </c:tx>
          <c:spPr>
            <a:ln w="25400" cap="rnd">
              <a:noFill/>
              <a:round/>
            </a:ln>
            <a:effectLst/>
          </c:spPr>
          <c:marker>
            <c:symbol val="diamond"/>
            <c:size val="7"/>
            <c:spPr>
              <a:solidFill>
                <a:schemeClr val="tx1"/>
              </a:solidFill>
              <a:ln w="9525">
                <a:noFill/>
              </a:ln>
              <a:effectLst/>
            </c:spPr>
          </c:marker>
          <c:cat>
            <c:strRef>
              <c:f>'Figure 2.6.'!$S$10:$S$14</c:f>
              <c:strCache>
                <c:ptCount val="5"/>
                <c:pt idx="0">
                  <c:v>Poorest</c:v>
                </c:pt>
                <c:pt idx="1">
                  <c:v>2</c:v>
                </c:pt>
                <c:pt idx="2">
                  <c:v>3</c:v>
                </c:pt>
                <c:pt idx="3">
                  <c:v>4</c:v>
                </c:pt>
                <c:pt idx="4">
                  <c:v>Richest</c:v>
                </c:pt>
              </c:strCache>
            </c:strRef>
          </c:cat>
          <c:val>
            <c:numRef>
              <c:f>'Figure 2.6.'!$V$10:$V$14</c:f>
              <c:numCache>
                <c:formatCode>0.00</c:formatCode>
                <c:ptCount val="5"/>
                <c:pt idx="0">
                  <c:v>7.1805853819262994E-3</c:v>
                </c:pt>
                <c:pt idx="1">
                  <c:v>0.29447611320824862</c:v>
                </c:pt>
                <c:pt idx="2">
                  <c:v>0.86603799691216432</c:v>
                </c:pt>
                <c:pt idx="3">
                  <c:v>1.1487565442891565</c:v>
                </c:pt>
                <c:pt idx="4">
                  <c:v>2.2852908554096629</c:v>
                </c:pt>
              </c:numCache>
            </c:numRef>
          </c:val>
          <c:smooth val="0"/>
          <c:extLst>
            <c:ext xmlns:c16="http://schemas.microsoft.com/office/drawing/2014/chart" uri="{C3380CC4-5D6E-409C-BE32-E72D297353CC}">
              <c16:uniqueId val="{00000002-4C64-4559-AF3F-D2D5D059A2BC}"/>
            </c:ext>
          </c:extLst>
        </c:ser>
        <c:dLbls>
          <c:showLegendKey val="0"/>
          <c:showVal val="0"/>
          <c:showCatName val="0"/>
          <c:showSerName val="0"/>
          <c:showPercent val="0"/>
          <c:showBubbleSize val="0"/>
        </c:dLbls>
        <c:marker val="1"/>
        <c:smooth val="0"/>
        <c:axId val="227482271"/>
        <c:axId val="227499327"/>
      </c:lineChart>
      <c:catAx>
        <c:axId val="227482271"/>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crossAx val="227499327"/>
        <c:crosses val="autoZero"/>
        <c:auto val="1"/>
        <c:lblAlgn val="ctr"/>
        <c:lblOffset val="100"/>
        <c:noMultiLvlLbl val="0"/>
      </c:catAx>
      <c:valAx>
        <c:axId val="227499327"/>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227482271"/>
        <c:crosses val="autoZero"/>
        <c:crossBetween val="between"/>
        <c:majorUnit val="2"/>
      </c:valAx>
      <c:spPr>
        <a:noFill/>
        <a:ln w="31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aseline="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839131779017"/>
          <c:y val="0.27791146508560954"/>
          <c:w val="0.83148092933964168"/>
          <c:h val="0.68416984722160135"/>
        </c:manualLayout>
      </c:layout>
      <c:barChart>
        <c:barDir val="col"/>
        <c:grouping val="stacked"/>
        <c:varyColors val="0"/>
        <c:ser>
          <c:idx val="0"/>
          <c:order val="0"/>
          <c:tx>
            <c:strRef>
              <c:f>'Figure 2.6.'!$T$3</c:f>
              <c:strCache>
                <c:ptCount val="1"/>
                <c:pt idx="0">
                  <c:v>Income</c:v>
                </c:pt>
              </c:strCache>
            </c:strRef>
          </c:tx>
          <c:spPr>
            <a:solidFill>
              <a:schemeClr val="accent1">
                <a:lumMod val="75000"/>
              </a:schemeClr>
            </a:solidFill>
            <a:ln>
              <a:noFill/>
            </a:ln>
            <a:effectLst/>
          </c:spPr>
          <c:invertIfNegative val="0"/>
          <c:cat>
            <c:multiLvlStrRef>
              <c:f>'Figure 2.6.'!$R$16:$S$20</c:f>
              <c:multiLvlStrCache>
                <c:ptCount val="5"/>
                <c:lvl>
                  <c:pt idx="0">
                    <c:v>Poorest</c:v>
                  </c:pt>
                  <c:pt idx="1">
                    <c:v>2</c:v>
                  </c:pt>
                  <c:pt idx="2">
                    <c:v>3</c:v>
                  </c:pt>
                  <c:pt idx="3">
                    <c:v>4</c:v>
                  </c:pt>
                  <c:pt idx="4">
                    <c:v>Richest</c:v>
                  </c:pt>
                </c:lvl>
                <c:lvl>
                  <c:pt idx="0">
                    <c:v>3. Senegal</c:v>
                  </c:pt>
                </c:lvl>
              </c:multiLvlStrCache>
            </c:multiLvlStrRef>
          </c:cat>
          <c:val>
            <c:numRef>
              <c:f>'Figure 2.6.'!$T$16:$T$20</c:f>
              <c:numCache>
                <c:formatCode>0.00</c:formatCode>
                <c:ptCount val="5"/>
                <c:pt idx="0">
                  <c:v>-3.3009878637535017</c:v>
                </c:pt>
                <c:pt idx="1">
                  <c:v>-3.9343483957669836</c:v>
                </c:pt>
                <c:pt idx="2">
                  <c:v>-3.6109142119251829</c:v>
                </c:pt>
                <c:pt idx="3">
                  <c:v>-4.6347085862666324</c:v>
                </c:pt>
                <c:pt idx="4">
                  <c:v>-4.4531438524391582</c:v>
                </c:pt>
              </c:numCache>
            </c:numRef>
          </c:val>
          <c:extLst>
            <c:ext xmlns:c16="http://schemas.microsoft.com/office/drawing/2014/chart" uri="{C3380CC4-5D6E-409C-BE32-E72D297353CC}">
              <c16:uniqueId val="{00000000-B3E3-4F81-B557-62E972DF66A3}"/>
            </c:ext>
          </c:extLst>
        </c:ser>
        <c:ser>
          <c:idx val="1"/>
          <c:order val="1"/>
          <c:tx>
            <c:strRef>
              <c:f>'Figure 2.6.'!$U$3</c:f>
              <c:strCache>
                <c:ptCount val="1"/>
                <c:pt idx="0">
                  <c:v>Consumption</c:v>
                </c:pt>
              </c:strCache>
            </c:strRef>
          </c:tx>
          <c:spPr>
            <a:solidFill>
              <a:srgbClr val="FF0000"/>
            </a:solidFill>
            <a:ln>
              <a:noFill/>
            </a:ln>
            <a:effectLst/>
          </c:spPr>
          <c:invertIfNegative val="0"/>
          <c:cat>
            <c:multiLvlStrRef>
              <c:f>'Figure 2.6.'!$R$16:$S$20</c:f>
              <c:multiLvlStrCache>
                <c:ptCount val="5"/>
                <c:lvl>
                  <c:pt idx="0">
                    <c:v>Poorest</c:v>
                  </c:pt>
                  <c:pt idx="1">
                    <c:v>2</c:v>
                  </c:pt>
                  <c:pt idx="2">
                    <c:v>3</c:v>
                  </c:pt>
                  <c:pt idx="3">
                    <c:v>4</c:v>
                  </c:pt>
                  <c:pt idx="4">
                    <c:v>Richest</c:v>
                  </c:pt>
                </c:lvl>
                <c:lvl>
                  <c:pt idx="0">
                    <c:v>3. Senegal</c:v>
                  </c:pt>
                </c:lvl>
              </c:multiLvlStrCache>
            </c:multiLvlStrRef>
          </c:cat>
          <c:val>
            <c:numRef>
              <c:f>'Figure 2.6.'!$U$16:$U$20</c:f>
              <c:numCache>
                <c:formatCode>0.00</c:formatCode>
                <c:ptCount val="5"/>
                <c:pt idx="0">
                  <c:v>-0.52391850910085558</c:v>
                </c:pt>
                <c:pt idx="1">
                  <c:v>-0.54590410257990374</c:v>
                </c:pt>
                <c:pt idx="2">
                  <c:v>-0.44356110714656832</c:v>
                </c:pt>
                <c:pt idx="3">
                  <c:v>9.7149589040126955E-3</c:v>
                </c:pt>
                <c:pt idx="4">
                  <c:v>0.88829589749293525</c:v>
                </c:pt>
              </c:numCache>
            </c:numRef>
          </c:val>
          <c:extLst>
            <c:ext xmlns:c16="http://schemas.microsoft.com/office/drawing/2014/chart" uri="{C3380CC4-5D6E-409C-BE32-E72D297353CC}">
              <c16:uniqueId val="{00000001-B3E3-4F81-B557-62E972DF66A3}"/>
            </c:ext>
          </c:extLst>
        </c:ser>
        <c:dLbls>
          <c:showLegendKey val="0"/>
          <c:showVal val="0"/>
          <c:showCatName val="0"/>
          <c:showSerName val="0"/>
          <c:showPercent val="0"/>
          <c:showBubbleSize val="0"/>
        </c:dLbls>
        <c:gapWidth val="57"/>
        <c:overlap val="100"/>
        <c:axId val="737595296"/>
        <c:axId val="737598624"/>
      </c:barChart>
      <c:lineChart>
        <c:grouping val="standard"/>
        <c:varyColors val="0"/>
        <c:ser>
          <c:idx val="2"/>
          <c:order val="2"/>
          <c:tx>
            <c:strRef>
              <c:f>'Figure 2.6.'!$V$3</c:f>
              <c:strCache>
                <c:ptCount val="1"/>
                <c:pt idx="0">
                  <c:v>Total</c:v>
                </c:pt>
              </c:strCache>
            </c:strRef>
          </c:tx>
          <c:spPr>
            <a:ln w="25400" cap="rnd">
              <a:noFill/>
              <a:round/>
            </a:ln>
            <a:effectLst/>
          </c:spPr>
          <c:marker>
            <c:symbol val="diamond"/>
            <c:size val="7"/>
            <c:spPr>
              <a:solidFill>
                <a:schemeClr val="tx1"/>
              </a:solidFill>
              <a:ln w="9525">
                <a:noFill/>
              </a:ln>
              <a:effectLst/>
            </c:spPr>
          </c:marker>
          <c:cat>
            <c:strRef>
              <c:f>'Figure 2.6.'!$S$16:$S$20</c:f>
              <c:strCache>
                <c:ptCount val="5"/>
                <c:pt idx="0">
                  <c:v>Poorest</c:v>
                </c:pt>
                <c:pt idx="1">
                  <c:v>2</c:v>
                </c:pt>
                <c:pt idx="2">
                  <c:v>3</c:v>
                </c:pt>
                <c:pt idx="3">
                  <c:v>4</c:v>
                </c:pt>
                <c:pt idx="4">
                  <c:v>Richest</c:v>
                </c:pt>
              </c:strCache>
            </c:strRef>
          </c:cat>
          <c:val>
            <c:numRef>
              <c:f>'Figure 2.6.'!$V$16:$V$20</c:f>
              <c:numCache>
                <c:formatCode>0.00</c:formatCode>
                <c:ptCount val="5"/>
                <c:pt idx="0">
                  <c:v>-3.8249063728543571</c:v>
                </c:pt>
                <c:pt idx="1">
                  <c:v>-4.4802524983468874</c:v>
                </c:pt>
                <c:pt idx="2">
                  <c:v>-4.0544753190717513</c:v>
                </c:pt>
                <c:pt idx="3">
                  <c:v>-4.6249936273626195</c:v>
                </c:pt>
                <c:pt idx="4">
                  <c:v>-3.5648479549462224</c:v>
                </c:pt>
              </c:numCache>
            </c:numRef>
          </c:val>
          <c:smooth val="0"/>
          <c:extLst>
            <c:ext xmlns:c16="http://schemas.microsoft.com/office/drawing/2014/chart" uri="{C3380CC4-5D6E-409C-BE32-E72D297353CC}">
              <c16:uniqueId val="{00000002-B3E3-4F81-B557-62E972DF66A3}"/>
            </c:ext>
          </c:extLst>
        </c:ser>
        <c:dLbls>
          <c:showLegendKey val="0"/>
          <c:showVal val="0"/>
          <c:showCatName val="0"/>
          <c:showSerName val="0"/>
          <c:showPercent val="0"/>
          <c:showBubbleSize val="0"/>
        </c:dLbls>
        <c:marker val="1"/>
        <c:smooth val="0"/>
        <c:axId val="737595296"/>
        <c:axId val="737598624"/>
      </c:lineChart>
      <c:catAx>
        <c:axId val="737595296"/>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737598624"/>
        <c:crosses val="autoZero"/>
        <c:auto val="1"/>
        <c:lblAlgn val="ctr"/>
        <c:lblOffset val="100"/>
        <c:noMultiLvlLbl val="0"/>
      </c:catAx>
      <c:valAx>
        <c:axId val="737598624"/>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737595296"/>
        <c:crosses val="autoZero"/>
        <c:crossBetween val="between"/>
      </c:valAx>
      <c:spPr>
        <a:noFill/>
        <a:ln w="31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aseline="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9389591511694"/>
          <c:y val="0.28271585597336024"/>
          <c:w val="0.84897094660242645"/>
          <c:h val="0.67632588522899906"/>
        </c:manualLayout>
      </c:layout>
      <c:barChart>
        <c:barDir val="col"/>
        <c:grouping val="stacked"/>
        <c:varyColors val="0"/>
        <c:ser>
          <c:idx val="0"/>
          <c:order val="0"/>
          <c:tx>
            <c:strRef>
              <c:f>'Figure 2.6.'!$T$22</c:f>
              <c:strCache>
                <c:ptCount val="1"/>
                <c:pt idx="0">
                  <c:v>Income</c:v>
                </c:pt>
              </c:strCache>
            </c:strRef>
          </c:tx>
          <c:spPr>
            <a:solidFill>
              <a:schemeClr val="accent1">
                <a:lumMod val="75000"/>
              </a:schemeClr>
            </a:solidFill>
            <a:ln>
              <a:noFill/>
            </a:ln>
            <a:effectLst/>
          </c:spPr>
          <c:invertIfNegative val="0"/>
          <c:cat>
            <c:multiLvlStrRef>
              <c:f>'Figure 2.6.'!$R$23:$S$27</c:f>
              <c:multiLvlStrCache>
                <c:ptCount val="5"/>
                <c:lvl>
                  <c:pt idx="0">
                    <c:v>Poorest</c:v>
                  </c:pt>
                  <c:pt idx="1">
                    <c:v>2</c:v>
                  </c:pt>
                  <c:pt idx="2">
                    <c:v>3</c:v>
                  </c:pt>
                  <c:pt idx="3">
                    <c:v>4</c:v>
                  </c:pt>
                  <c:pt idx="4">
                    <c:v>Richest</c:v>
                  </c:pt>
                </c:lvl>
                <c:lvl>
                  <c:pt idx="0">
                    <c:v>4. Colombia</c:v>
                  </c:pt>
                </c:lvl>
              </c:multiLvlStrCache>
            </c:multiLvlStrRef>
          </c:cat>
          <c:val>
            <c:numRef>
              <c:f>'Figure 2.6.'!$T$23:$T$27</c:f>
              <c:numCache>
                <c:formatCode>0.00</c:formatCode>
                <c:ptCount val="5"/>
                <c:pt idx="0">
                  <c:v>2.7208403811420863</c:v>
                </c:pt>
                <c:pt idx="1">
                  <c:v>3.7377614373704953</c:v>
                </c:pt>
                <c:pt idx="2">
                  <c:v>3.4257224557434491</c:v>
                </c:pt>
                <c:pt idx="3">
                  <c:v>3.1109149335314767</c:v>
                </c:pt>
                <c:pt idx="4">
                  <c:v>1.0510606300647825</c:v>
                </c:pt>
              </c:numCache>
            </c:numRef>
          </c:val>
          <c:extLst>
            <c:ext xmlns:c16="http://schemas.microsoft.com/office/drawing/2014/chart" uri="{C3380CC4-5D6E-409C-BE32-E72D297353CC}">
              <c16:uniqueId val="{00000000-F956-4EC0-AC79-BC059EE1F521}"/>
            </c:ext>
          </c:extLst>
        </c:ser>
        <c:ser>
          <c:idx val="1"/>
          <c:order val="1"/>
          <c:tx>
            <c:strRef>
              <c:f>'Figure 2.6.'!$U$22</c:f>
              <c:strCache>
                <c:ptCount val="1"/>
                <c:pt idx="0">
                  <c:v>Consumption</c:v>
                </c:pt>
              </c:strCache>
            </c:strRef>
          </c:tx>
          <c:spPr>
            <a:solidFill>
              <a:srgbClr val="FF0000"/>
            </a:solidFill>
            <a:ln>
              <a:noFill/>
            </a:ln>
            <a:effectLst/>
          </c:spPr>
          <c:invertIfNegative val="0"/>
          <c:cat>
            <c:multiLvlStrRef>
              <c:f>'Figure 2.6.'!$R$23:$S$27</c:f>
              <c:multiLvlStrCache>
                <c:ptCount val="5"/>
                <c:lvl>
                  <c:pt idx="0">
                    <c:v>Poorest</c:v>
                  </c:pt>
                  <c:pt idx="1">
                    <c:v>2</c:v>
                  </c:pt>
                  <c:pt idx="2">
                    <c:v>3</c:v>
                  </c:pt>
                  <c:pt idx="3">
                    <c:v>4</c:v>
                  </c:pt>
                  <c:pt idx="4">
                    <c:v>Richest</c:v>
                  </c:pt>
                </c:lvl>
                <c:lvl>
                  <c:pt idx="0">
                    <c:v>4. Colombia</c:v>
                  </c:pt>
                </c:lvl>
              </c:multiLvlStrCache>
            </c:multiLvlStrRef>
          </c:cat>
          <c:val>
            <c:numRef>
              <c:f>'Figure 2.6.'!$U$23:$U$27</c:f>
              <c:numCache>
                <c:formatCode>0.00</c:formatCode>
                <c:ptCount val="5"/>
                <c:pt idx="0">
                  <c:v>-2.125225678947658</c:v>
                </c:pt>
                <c:pt idx="1">
                  <c:v>-1.0764069412461841</c:v>
                </c:pt>
                <c:pt idx="2">
                  <c:v>-0.62149593025268857</c:v>
                </c:pt>
                <c:pt idx="3">
                  <c:v>-7.5929399483803381E-2</c:v>
                </c:pt>
                <c:pt idx="4">
                  <c:v>0.72881459282236383</c:v>
                </c:pt>
              </c:numCache>
            </c:numRef>
          </c:val>
          <c:extLst>
            <c:ext xmlns:c16="http://schemas.microsoft.com/office/drawing/2014/chart" uri="{C3380CC4-5D6E-409C-BE32-E72D297353CC}">
              <c16:uniqueId val="{00000001-F956-4EC0-AC79-BC059EE1F521}"/>
            </c:ext>
          </c:extLst>
        </c:ser>
        <c:ser>
          <c:idx val="2"/>
          <c:order val="2"/>
          <c:tx>
            <c:strRef>
              <c:f>'Figure 2.6.'!$V$22</c:f>
              <c:strCache>
                <c:ptCount val="1"/>
                <c:pt idx="0">
                  <c:v>Wealth</c:v>
                </c:pt>
              </c:strCache>
            </c:strRef>
          </c:tx>
          <c:spPr>
            <a:solidFill>
              <a:srgbClr val="00B050"/>
            </a:solidFill>
            <a:ln>
              <a:noFill/>
            </a:ln>
            <a:effectLst/>
          </c:spPr>
          <c:invertIfNegative val="0"/>
          <c:cat>
            <c:multiLvlStrRef>
              <c:f>'Figure 2.6.'!$R$23:$S$27</c:f>
              <c:multiLvlStrCache>
                <c:ptCount val="5"/>
                <c:lvl>
                  <c:pt idx="0">
                    <c:v>Poorest</c:v>
                  </c:pt>
                  <c:pt idx="1">
                    <c:v>2</c:v>
                  </c:pt>
                  <c:pt idx="2">
                    <c:v>3</c:v>
                  </c:pt>
                  <c:pt idx="3">
                    <c:v>4</c:v>
                  </c:pt>
                  <c:pt idx="4">
                    <c:v>Richest</c:v>
                  </c:pt>
                </c:lvl>
                <c:lvl>
                  <c:pt idx="0">
                    <c:v>4. Colombia</c:v>
                  </c:pt>
                </c:lvl>
              </c:multiLvlStrCache>
            </c:multiLvlStrRef>
          </c:cat>
          <c:val>
            <c:numRef>
              <c:f>'Figure 2.6.'!$V$23:$V$27</c:f>
              <c:numCache>
                <c:formatCode>0.00</c:formatCode>
                <c:ptCount val="5"/>
                <c:pt idx="0">
                  <c:v>3.7803697157354441</c:v>
                </c:pt>
                <c:pt idx="1">
                  <c:v>1.3322218043726821</c:v>
                </c:pt>
                <c:pt idx="2">
                  <c:v>1.4438802723422386</c:v>
                </c:pt>
                <c:pt idx="3">
                  <c:v>1.3747872967252401</c:v>
                </c:pt>
                <c:pt idx="4">
                  <c:v>1.8406118758552235</c:v>
                </c:pt>
              </c:numCache>
            </c:numRef>
          </c:val>
          <c:extLst>
            <c:ext xmlns:c16="http://schemas.microsoft.com/office/drawing/2014/chart" uri="{C3380CC4-5D6E-409C-BE32-E72D297353CC}">
              <c16:uniqueId val="{00000002-F956-4EC0-AC79-BC059EE1F521}"/>
            </c:ext>
          </c:extLst>
        </c:ser>
        <c:dLbls>
          <c:showLegendKey val="0"/>
          <c:showVal val="0"/>
          <c:showCatName val="0"/>
          <c:showSerName val="0"/>
          <c:showPercent val="0"/>
          <c:showBubbleSize val="0"/>
        </c:dLbls>
        <c:gapWidth val="57"/>
        <c:overlap val="100"/>
        <c:axId val="241258623"/>
        <c:axId val="241283999"/>
      </c:barChart>
      <c:lineChart>
        <c:grouping val="standard"/>
        <c:varyColors val="0"/>
        <c:ser>
          <c:idx val="3"/>
          <c:order val="3"/>
          <c:tx>
            <c:strRef>
              <c:f>'Figure 2.6.'!$W$22</c:f>
              <c:strCache>
                <c:ptCount val="1"/>
                <c:pt idx="0">
                  <c:v>Total</c:v>
                </c:pt>
              </c:strCache>
            </c:strRef>
          </c:tx>
          <c:spPr>
            <a:ln w="25400" cap="rnd">
              <a:noFill/>
              <a:round/>
            </a:ln>
            <a:effectLst/>
          </c:spPr>
          <c:marker>
            <c:symbol val="diamond"/>
            <c:size val="7"/>
            <c:spPr>
              <a:solidFill>
                <a:schemeClr val="tx1"/>
              </a:solidFill>
              <a:ln w="9525">
                <a:noFill/>
              </a:ln>
              <a:effectLst/>
            </c:spPr>
          </c:marker>
          <c:cat>
            <c:strRef>
              <c:f>'Figure 2.6.'!$S$23:$S$27</c:f>
              <c:strCache>
                <c:ptCount val="5"/>
                <c:pt idx="0">
                  <c:v>Poorest</c:v>
                </c:pt>
                <c:pt idx="1">
                  <c:v>2</c:v>
                </c:pt>
                <c:pt idx="2">
                  <c:v>3</c:v>
                </c:pt>
                <c:pt idx="3">
                  <c:v>4</c:v>
                </c:pt>
                <c:pt idx="4">
                  <c:v>Richest</c:v>
                </c:pt>
              </c:strCache>
            </c:strRef>
          </c:cat>
          <c:val>
            <c:numRef>
              <c:f>'Figure 2.6.'!$W$23:$W$27</c:f>
              <c:numCache>
                <c:formatCode>0.00</c:formatCode>
                <c:ptCount val="5"/>
                <c:pt idx="0">
                  <c:v>4.3759844179298719</c:v>
                </c:pt>
                <c:pt idx="1">
                  <c:v>3.9935763004969926</c:v>
                </c:pt>
                <c:pt idx="2">
                  <c:v>4.2481067978329987</c:v>
                </c:pt>
                <c:pt idx="3">
                  <c:v>4.4097728307729138</c:v>
                </c:pt>
                <c:pt idx="4">
                  <c:v>3.6204870987423696</c:v>
                </c:pt>
              </c:numCache>
            </c:numRef>
          </c:val>
          <c:smooth val="0"/>
          <c:extLst>
            <c:ext xmlns:c16="http://schemas.microsoft.com/office/drawing/2014/chart" uri="{C3380CC4-5D6E-409C-BE32-E72D297353CC}">
              <c16:uniqueId val="{00000003-F956-4EC0-AC79-BC059EE1F521}"/>
            </c:ext>
          </c:extLst>
        </c:ser>
        <c:dLbls>
          <c:showLegendKey val="0"/>
          <c:showVal val="0"/>
          <c:showCatName val="0"/>
          <c:showSerName val="0"/>
          <c:showPercent val="0"/>
          <c:showBubbleSize val="0"/>
        </c:dLbls>
        <c:marker val="1"/>
        <c:smooth val="0"/>
        <c:axId val="241258623"/>
        <c:axId val="241283999"/>
      </c:lineChart>
      <c:catAx>
        <c:axId val="241258623"/>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241283999"/>
        <c:crosses val="autoZero"/>
        <c:auto val="1"/>
        <c:lblAlgn val="ctr"/>
        <c:lblOffset val="100"/>
        <c:noMultiLvlLbl val="0"/>
      </c:catAx>
      <c:valAx>
        <c:axId val="241283999"/>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241258623"/>
        <c:crosses val="autoZero"/>
        <c:crossBetween val="between"/>
        <c:majorUnit val="2"/>
      </c:valAx>
      <c:spPr>
        <a:noFill/>
        <a:ln w="3175">
          <a:solidFill>
            <a:schemeClr val="tx1"/>
          </a:solidFill>
        </a:ln>
        <a:effectLst/>
      </c:spPr>
    </c:plotArea>
    <c:legend>
      <c:legendPos val="b"/>
      <c:layout>
        <c:manualLayout>
          <c:xMode val="edge"/>
          <c:yMode val="edge"/>
          <c:x val="0.19097721684247351"/>
          <c:y val="0.68563029212199866"/>
          <c:w val="0.72390699442316342"/>
          <c:h val="0.2719755521624819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7134288556705"/>
          <c:y val="0.25353820457644805"/>
          <c:w val="0.80583361427125622"/>
          <c:h val="0.70806037313181158"/>
        </c:manualLayout>
      </c:layout>
      <c:barChart>
        <c:barDir val="col"/>
        <c:grouping val="stacked"/>
        <c:varyColors val="0"/>
        <c:ser>
          <c:idx val="0"/>
          <c:order val="0"/>
          <c:tx>
            <c:strRef>
              <c:f>'Figure 2.6.'!$T$22</c:f>
              <c:strCache>
                <c:ptCount val="1"/>
                <c:pt idx="0">
                  <c:v>Income</c:v>
                </c:pt>
              </c:strCache>
            </c:strRef>
          </c:tx>
          <c:spPr>
            <a:solidFill>
              <a:schemeClr val="accent1">
                <a:lumMod val="75000"/>
              </a:schemeClr>
            </a:solidFill>
            <a:ln>
              <a:noFill/>
            </a:ln>
            <a:effectLst/>
          </c:spPr>
          <c:invertIfNegative val="0"/>
          <c:cat>
            <c:multiLvlStrRef>
              <c:f>'Figure 2.6.'!$R$29:$S$33</c:f>
              <c:multiLvlStrCache>
                <c:ptCount val="5"/>
                <c:lvl>
                  <c:pt idx="0">
                    <c:v>Poorest</c:v>
                  </c:pt>
                  <c:pt idx="1">
                    <c:v>2</c:v>
                  </c:pt>
                  <c:pt idx="2">
                    <c:v>3</c:v>
                  </c:pt>
                  <c:pt idx="3">
                    <c:v>4</c:v>
                  </c:pt>
                  <c:pt idx="4">
                    <c:v>Richest</c:v>
                  </c:pt>
                </c:lvl>
                <c:lvl>
                  <c:pt idx="0">
                    <c:v>5. Finland</c:v>
                  </c:pt>
                </c:lvl>
              </c:multiLvlStrCache>
            </c:multiLvlStrRef>
          </c:cat>
          <c:val>
            <c:numRef>
              <c:f>'Figure 2.6.'!$T$29:$T$33</c:f>
              <c:numCache>
                <c:formatCode>0.00</c:formatCode>
                <c:ptCount val="5"/>
                <c:pt idx="0">
                  <c:v>-4.9398893795467833</c:v>
                </c:pt>
                <c:pt idx="1">
                  <c:v>-4.4974052554584292</c:v>
                </c:pt>
                <c:pt idx="2">
                  <c:v>-4.7506868720085738</c:v>
                </c:pt>
                <c:pt idx="3">
                  <c:v>-5.0065913701065767</c:v>
                </c:pt>
                <c:pt idx="4">
                  <c:v>-5.34505747521189</c:v>
                </c:pt>
              </c:numCache>
            </c:numRef>
          </c:val>
          <c:extLst>
            <c:ext xmlns:c16="http://schemas.microsoft.com/office/drawing/2014/chart" uri="{C3380CC4-5D6E-409C-BE32-E72D297353CC}">
              <c16:uniqueId val="{00000000-26ED-430B-9ED3-F5969FE7D643}"/>
            </c:ext>
          </c:extLst>
        </c:ser>
        <c:ser>
          <c:idx val="1"/>
          <c:order val="1"/>
          <c:tx>
            <c:strRef>
              <c:f>'Figure 2.6.'!$U$22</c:f>
              <c:strCache>
                <c:ptCount val="1"/>
                <c:pt idx="0">
                  <c:v>Consumption</c:v>
                </c:pt>
              </c:strCache>
            </c:strRef>
          </c:tx>
          <c:spPr>
            <a:solidFill>
              <a:srgbClr val="FF0000"/>
            </a:solidFill>
            <a:ln>
              <a:noFill/>
            </a:ln>
            <a:effectLst/>
          </c:spPr>
          <c:invertIfNegative val="0"/>
          <c:cat>
            <c:multiLvlStrRef>
              <c:f>'Figure 2.6.'!$R$29:$S$33</c:f>
              <c:multiLvlStrCache>
                <c:ptCount val="5"/>
                <c:lvl>
                  <c:pt idx="0">
                    <c:v>Poorest</c:v>
                  </c:pt>
                  <c:pt idx="1">
                    <c:v>2</c:v>
                  </c:pt>
                  <c:pt idx="2">
                    <c:v>3</c:v>
                  </c:pt>
                  <c:pt idx="3">
                    <c:v>4</c:v>
                  </c:pt>
                  <c:pt idx="4">
                    <c:v>Richest</c:v>
                  </c:pt>
                </c:lvl>
                <c:lvl>
                  <c:pt idx="0">
                    <c:v>5. Finland</c:v>
                  </c:pt>
                </c:lvl>
              </c:multiLvlStrCache>
            </c:multiLvlStrRef>
          </c:cat>
          <c:val>
            <c:numRef>
              <c:f>'Figure 2.6.'!$U$29:$U$33</c:f>
              <c:numCache>
                <c:formatCode>0.00</c:formatCode>
                <c:ptCount val="5"/>
                <c:pt idx="0">
                  <c:v>0.19173290178622038</c:v>
                </c:pt>
                <c:pt idx="1">
                  <c:v>0.12669003321815933</c:v>
                </c:pt>
                <c:pt idx="2">
                  <c:v>-7.7233758590275245E-2</c:v>
                </c:pt>
                <c:pt idx="3">
                  <c:v>2.4770242501684601E-2</c:v>
                </c:pt>
                <c:pt idx="4">
                  <c:v>-5.6937599453811084E-2</c:v>
                </c:pt>
              </c:numCache>
            </c:numRef>
          </c:val>
          <c:extLst>
            <c:ext xmlns:c16="http://schemas.microsoft.com/office/drawing/2014/chart" uri="{C3380CC4-5D6E-409C-BE32-E72D297353CC}">
              <c16:uniqueId val="{00000001-26ED-430B-9ED3-F5969FE7D643}"/>
            </c:ext>
          </c:extLst>
        </c:ser>
        <c:ser>
          <c:idx val="2"/>
          <c:order val="2"/>
          <c:tx>
            <c:strRef>
              <c:f>'Figure 2.6.'!$V$22</c:f>
              <c:strCache>
                <c:ptCount val="1"/>
                <c:pt idx="0">
                  <c:v>Wealth</c:v>
                </c:pt>
              </c:strCache>
            </c:strRef>
          </c:tx>
          <c:spPr>
            <a:solidFill>
              <a:srgbClr val="00B050"/>
            </a:solidFill>
            <a:ln>
              <a:noFill/>
            </a:ln>
            <a:effectLst/>
          </c:spPr>
          <c:invertIfNegative val="0"/>
          <c:cat>
            <c:multiLvlStrRef>
              <c:f>'Figure 2.6.'!$R$29:$S$33</c:f>
              <c:multiLvlStrCache>
                <c:ptCount val="5"/>
                <c:lvl>
                  <c:pt idx="0">
                    <c:v>Poorest</c:v>
                  </c:pt>
                  <c:pt idx="1">
                    <c:v>2</c:v>
                  </c:pt>
                  <c:pt idx="2">
                    <c:v>3</c:v>
                  </c:pt>
                  <c:pt idx="3">
                    <c:v>4</c:v>
                  </c:pt>
                  <c:pt idx="4">
                    <c:v>Richest</c:v>
                  </c:pt>
                </c:lvl>
                <c:lvl>
                  <c:pt idx="0">
                    <c:v>5. Finland</c:v>
                  </c:pt>
                </c:lvl>
              </c:multiLvlStrCache>
            </c:multiLvlStrRef>
          </c:cat>
          <c:val>
            <c:numRef>
              <c:f>'Figure 2.6.'!$V$29:$V$33</c:f>
              <c:numCache>
                <c:formatCode>0.00</c:formatCode>
                <c:ptCount val="5"/>
                <c:pt idx="0">
                  <c:v>-2.1320378472043426</c:v>
                </c:pt>
                <c:pt idx="1">
                  <c:v>-1.918104260301513</c:v>
                </c:pt>
                <c:pt idx="2">
                  <c:v>2.4642234966692801E-2</c:v>
                </c:pt>
                <c:pt idx="3">
                  <c:v>1.7964739896702484</c:v>
                </c:pt>
                <c:pt idx="4">
                  <c:v>-0.12685162657209348</c:v>
                </c:pt>
              </c:numCache>
            </c:numRef>
          </c:val>
          <c:extLst>
            <c:ext xmlns:c16="http://schemas.microsoft.com/office/drawing/2014/chart" uri="{C3380CC4-5D6E-409C-BE32-E72D297353CC}">
              <c16:uniqueId val="{00000002-26ED-430B-9ED3-F5969FE7D643}"/>
            </c:ext>
          </c:extLst>
        </c:ser>
        <c:dLbls>
          <c:showLegendKey val="0"/>
          <c:showVal val="0"/>
          <c:showCatName val="0"/>
          <c:showSerName val="0"/>
          <c:showPercent val="0"/>
          <c:showBubbleSize val="0"/>
        </c:dLbls>
        <c:gapWidth val="57"/>
        <c:overlap val="100"/>
        <c:axId val="1504900912"/>
        <c:axId val="1504902576"/>
      </c:barChart>
      <c:lineChart>
        <c:grouping val="standard"/>
        <c:varyColors val="0"/>
        <c:ser>
          <c:idx val="3"/>
          <c:order val="3"/>
          <c:tx>
            <c:strRef>
              <c:f>'Figure 2.6.'!$W$22</c:f>
              <c:strCache>
                <c:ptCount val="1"/>
                <c:pt idx="0">
                  <c:v>Total</c:v>
                </c:pt>
              </c:strCache>
            </c:strRef>
          </c:tx>
          <c:spPr>
            <a:ln w="25400" cap="rnd">
              <a:noFill/>
              <a:round/>
            </a:ln>
            <a:effectLst/>
          </c:spPr>
          <c:marker>
            <c:symbol val="diamond"/>
            <c:size val="7"/>
            <c:spPr>
              <a:solidFill>
                <a:schemeClr val="tx1"/>
              </a:solidFill>
              <a:ln w="9525">
                <a:noFill/>
              </a:ln>
              <a:effectLst/>
            </c:spPr>
          </c:marker>
          <c:cat>
            <c:strRef>
              <c:f>'Figure 2.6.'!$S$29:$S$33</c:f>
              <c:strCache>
                <c:ptCount val="5"/>
                <c:pt idx="0">
                  <c:v>Poorest</c:v>
                </c:pt>
                <c:pt idx="1">
                  <c:v>2</c:v>
                </c:pt>
                <c:pt idx="2">
                  <c:v>3</c:v>
                </c:pt>
                <c:pt idx="3">
                  <c:v>4</c:v>
                </c:pt>
                <c:pt idx="4">
                  <c:v>Richest</c:v>
                </c:pt>
              </c:strCache>
            </c:strRef>
          </c:cat>
          <c:val>
            <c:numRef>
              <c:f>'Figure 2.6.'!$W$29:$W$33</c:f>
              <c:numCache>
                <c:formatCode>0.00</c:formatCode>
                <c:ptCount val="5"/>
                <c:pt idx="0">
                  <c:v>-6.880194324964906</c:v>
                </c:pt>
                <c:pt idx="1">
                  <c:v>-6.2888194825417827</c:v>
                </c:pt>
                <c:pt idx="2">
                  <c:v>-4.8032783956321561</c:v>
                </c:pt>
                <c:pt idx="3">
                  <c:v>-3.1853471379346443</c:v>
                </c:pt>
                <c:pt idx="4">
                  <c:v>-5.5288467012377946</c:v>
                </c:pt>
              </c:numCache>
            </c:numRef>
          </c:val>
          <c:smooth val="0"/>
          <c:extLst>
            <c:ext xmlns:c16="http://schemas.microsoft.com/office/drawing/2014/chart" uri="{C3380CC4-5D6E-409C-BE32-E72D297353CC}">
              <c16:uniqueId val="{00000003-26ED-430B-9ED3-F5969FE7D643}"/>
            </c:ext>
          </c:extLst>
        </c:ser>
        <c:dLbls>
          <c:showLegendKey val="0"/>
          <c:showVal val="0"/>
          <c:showCatName val="0"/>
          <c:showSerName val="0"/>
          <c:showPercent val="0"/>
          <c:showBubbleSize val="0"/>
        </c:dLbls>
        <c:marker val="1"/>
        <c:smooth val="0"/>
        <c:axId val="1504900912"/>
        <c:axId val="1504902576"/>
      </c:lineChart>
      <c:catAx>
        <c:axId val="1504900912"/>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1504902576"/>
        <c:crosses val="autoZero"/>
        <c:auto val="1"/>
        <c:lblAlgn val="ctr"/>
        <c:lblOffset val="100"/>
        <c:noMultiLvlLbl val="0"/>
      </c:catAx>
      <c:valAx>
        <c:axId val="1504902576"/>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1504900912"/>
        <c:crosses val="autoZero"/>
        <c:crossBetween val="between"/>
        <c:majorUnit val="2"/>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31006156485808"/>
          <c:y val="0.26005488017504186"/>
          <c:w val="0.79567387278719148"/>
          <c:h val="0.69908334961285035"/>
        </c:manualLayout>
      </c:layout>
      <c:barChart>
        <c:barDir val="col"/>
        <c:grouping val="stacked"/>
        <c:varyColors val="0"/>
        <c:ser>
          <c:idx val="0"/>
          <c:order val="0"/>
          <c:tx>
            <c:strRef>
              <c:f>'Figure 2.6.'!$T$22</c:f>
              <c:strCache>
                <c:ptCount val="1"/>
                <c:pt idx="0">
                  <c:v>Income</c:v>
                </c:pt>
              </c:strCache>
            </c:strRef>
          </c:tx>
          <c:spPr>
            <a:solidFill>
              <a:schemeClr val="accent1">
                <a:lumMod val="75000"/>
              </a:schemeClr>
            </a:solidFill>
            <a:ln>
              <a:noFill/>
            </a:ln>
            <a:effectLst/>
          </c:spPr>
          <c:invertIfNegative val="0"/>
          <c:cat>
            <c:multiLvlStrRef>
              <c:f>'Figure 2.6.'!$R$35:$S$39</c:f>
              <c:multiLvlStrCache>
                <c:ptCount val="5"/>
                <c:lvl>
                  <c:pt idx="0">
                    <c:v>Poorest</c:v>
                  </c:pt>
                  <c:pt idx="1">
                    <c:v>2</c:v>
                  </c:pt>
                  <c:pt idx="2">
                    <c:v>3</c:v>
                  </c:pt>
                  <c:pt idx="3">
                    <c:v>4</c:v>
                  </c:pt>
                  <c:pt idx="4">
                    <c:v>Richest</c:v>
                  </c:pt>
                </c:lvl>
                <c:lvl>
                  <c:pt idx="0">
                    <c:v>6. France</c:v>
                  </c:pt>
                </c:lvl>
              </c:multiLvlStrCache>
            </c:multiLvlStrRef>
          </c:cat>
          <c:val>
            <c:numRef>
              <c:f>'Figure 2.6.'!$T$35:$T$39</c:f>
              <c:numCache>
                <c:formatCode>0.00</c:formatCode>
                <c:ptCount val="5"/>
                <c:pt idx="0">
                  <c:v>-3.3456563610676935</c:v>
                </c:pt>
                <c:pt idx="1">
                  <c:v>-2.483667973792905</c:v>
                </c:pt>
                <c:pt idx="2">
                  <c:v>-2.3704143805640481</c:v>
                </c:pt>
                <c:pt idx="3">
                  <c:v>-2.5281338978013155</c:v>
                </c:pt>
                <c:pt idx="4">
                  <c:v>-2.6599578989331953</c:v>
                </c:pt>
              </c:numCache>
            </c:numRef>
          </c:val>
          <c:extLst>
            <c:ext xmlns:c16="http://schemas.microsoft.com/office/drawing/2014/chart" uri="{C3380CC4-5D6E-409C-BE32-E72D297353CC}">
              <c16:uniqueId val="{00000000-DD49-4F7A-84BE-54C60137E597}"/>
            </c:ext>
          </c:extLst>
        </c:ser>
        <c:ser>
          <c:idx val="1"/>
          <c:order val="1"/>
          <c:tx>
            <c:strRef>
              <c:f>'Figure 2.6.'!$U$22</c:f>
              <c:strCache>
                <c:ptCount val="1"/>
                <c:pt idx="0">
                  <c:v>Consumption</c:v>
                </c:pt>
              </c:strCache>
            </c:strRef>
          </c:tx>
          <c:spPr>
            <a:solidFill>
              <a:srgbClr val="FF0000"/>
            </a:solidFill>
            <a:ln>
              <a:noFill/>
            </a:ln>
            <a:effectLst/>
          </c:spPr>
          <c:invertIfNegative val="0"/>
          <c:cat>
            <c:multiLvlStrRef>
              <c:f>'Figure 2.6.'!$R$35:$S$39</c:f>
              <c:multiLvlStrCache>
                <c:ptCount val="5"/>
                <c:lvl>
                  <c:pt idx="0">
                    <c:v>Poorest</c:v>
                  </c:pt>
                  <c:pt idx="1">
                    <c:v>2</c:v>
                  </c:pt>
                  <c:pt idx="2">
                    <c:v>3</c:v>
                  </c:pt>
                  <c:pt idx="3">
                    <c:v>4</c:v>
                  </c:pt>
                  <c:pt idx="4">
                    <c:v>Richest</c:v>
                  </c:pt>
                </c:lvl>
                <c:lvl>
                  <c:pt idx="0">
                    <c:v>6. France</c:v>
                  </c:pt>
                </c:lvl>
              </c:multiLvlStrCache>
            </c:multiLvlStrRef>
          </c:cat>
          <c:val>
            <c:numRef>
              <c:f>'Figure 2.6.'!$U$35:$U$39</c:f>
              <c:numCache>
                <c:formatCode>0.00</c:formatCode>
                <c:ptCount val="5"/>
                <c:pt idx="0">
                  <c:v>-0.18584181252723278</c:v>
                </c:pt>
                <c:pt idx="1">
                  <c:v>-0.10648554462453901</c:v>
                </c:pt>
                <c:pt idx="2">
                  <c:v>-4.2986412301154395E-2</c:v>
                </c:pt>
                <c:pt idx="3">
                  <c:v>7.2229916366079875E-3</c:v>
                </c:pt>
                <c:pt idx="4">
                  <c:v>8.2254256821399294E-2</c:v>
                </c:pt>
              </c:numCache>
            </c:numRef>
          </c:val>
          <c:extLst>
            <c:ext xmlns:c16="http://schemas.microsoft.com/office/drawing/2014/chart" uri="{C3380CC4-5D6E-409C-BE32-E72D297353CC}">
              <c16:uniqueId val="{00000001-DD49-4F7A-84BE-54C60137E597}"/>
            </c:ext>
          </c:extLst>
        </c:ser>
        <c:ser>
          <c:idx val="2"/>
          <c:order val="2"/>
          <c:tx>
            <c:strRef>
              <c:f>'Figure 2.6.'!$V$22</c:f>
              <c:strCache>
                <c:ptCount val="1"/>
                <c:pt idx="0">
                  <c:v>Wealth</c:v>
                </c:pt>
              </c:strCache>
            </c:strRef>
          </c:tx>
          <c:spPr>
            <a:solidFill>
              <a:srgbClr val="00B050"/>
            </a:solidFill>
            <a:ln>
              <a:noFill/>
            </a:ln>
            <a:effectLst/>
          </c:spPr>
          <c:invertIfNegative val="0"/>
          <c:cat>
            <c:multiLvlStrRef>
              <c:f>'Figure 2.6.'!$R$35:$S$39</c:f>
              <c:multiLvlStrCache>
                <c:ptCount val="5"/>
                <c:lvl>
                  <c:pt idx="0">
                    <c:v>Poorest</c:v>
                  </c:pt>
                  <c:pt idx="1">
                    <c:v>2</c:v>
                  </c:pt>
                  <c:pt idx="2">
                    <c:v>3</c:v>
                  </c:pt>
                  <c:pt idx="3">
                    <c:v>4</c:v>
                  </c:pt>
                  <c:pt idx="4">
                    <c:v>Richest</c:v>
                  </c:pt>
                </c:lvl>
                <c:lvl>
                  <c:pt idx="0">
                    <c:v>6. France</c:v>
                  </c:pt>
                </c:lvl>
              </c:multiLvlStrCache>
            </c:multiLvlStrRef>
          </c:cat>
          <c:val>
            <c:numRef>
              <c:f>'Figure 2.6.'!$V$35:$V$39</c:f>
              <c:numCache>
                <c:formatCode>0.00</c:formatCode>
                <c:ptCount val="5"/>
                <c:pt idx="0">
                  <c:v>-0.66201880221743414</c:v>
                </c:pt>
                <c:pt idx="1">
                  <c:v>0.27865804680294659</c:v>
                </c:pt>
                <c:pt idx="2">
                  <c:v>1.3354432680552359</c:v>
                </c:pt>
                <c:pt idx="3">
                  <c:v>1.6676425271599202</c:v>
                </c:pt>
                <c:pt idx="4">
                  <c:v>-0.39620304469979301</c:v>
                </c:pt>
              </c:numCache>
            </c:numRef>
          </c:val>
          <c:extLst>
            <c:ext xmlns:c16="http://schemas.microsoft.com/office/drawing/2014/chart" uri="{C3380CC4-5D6E-409C-BE32-E72D297353CC}">
              <c16:uniqueId val="{00000002-DD49-4F7A-84BE-54C60137E597}"/>
            </c:ext>
          </c:extLst>
        </c:ser>
        <c:dLbls>
          <c:showLegendKey val="0"/>
          <c:showVal val="0"/>
          <c:showCatName val="0"/>
          <c:showSerName val="0"/>
          <c:showPercent val="0"/>
          <c:showBubbleSize val="0"/>
        </c:dLbls>
        <c:gapWidth val="57"/>
        <c:overlap val="100"/>
        <c:axId val="626965408"/>
        <c:axId val="626971648"/>
      </c:barChart>
      <c:lineChart>
        <c:grouping val="standard"/>
        <c:varyColors val="0"/>
        <c:ser>
          <c:idx val="3"/>
          <c:order val="3"/>
          <c:tx>
            <c:strRef>
              <c:f>'Figure 2.6.'!$W$22</c:f>
              <c:strCache>
                <c:ptCount val="1"/>
                <c:pt idx="0">
                  <c:v>Total</c:v>
                </c:pt>
              </c:strCache>
            </c:strRef>
          </c:tx>
          <c:spPr>
            <a:ln w="25400" cap="rnd">
              <a:noFill/>
              <a:round/>
            </a:ln>
            <a:effectLst/>
          </c:spPr>
          <c:marker>
            <c:symbol val="diamond"/>
            <c:size val="5"/>
            <c:spPr>
              <a:solidFill>
                <a:schemeClr val="tx1"/>
              </a:solidFill>
              <a:ln w="9525">
                <a:noFill/>
              </a:ln>
              <a:effectLst/>
            </c:spPr>
          </c:marker>
          <c:cat>
            <c:multiLvlStrRef>
              <c:f>'Figure 2.6.'!$R$35:$S$39</c:f>
              <c:multiLvlStrCache>
                <c:ptCount val="5"/>
                <c:lvl>
                  <c:pt idx="0">
                    <c:v>Poorest</c:v>
                  </c:pt>
                  <c:pt idx="1">
                    <c:v>2</c:v>
                  </c:pt>
                  <c:pt idx="2">
                    <c:v>3</c:v>
                  </c:pt>
                  <c:pt idx="3">
                    <c:v>4</c:v>
                  </c:pt>
                  <c:pt idx="4">
                    <c:v>Richest</c:v>
                  </c:pt>
                </c:lvl>
                <c:lvl>
                  <c:pt idx="0">
                    <c:v>6. France</c:v>
                  </c:pt>
                </c:lvl>
              </c:multiLvlStrCache>
            </c:multiLvlStrRef>
          </c:cat>
          <c:val>
            <c:numRef>
              <c:f>'Figure 2.6.'!$W$35:$W$39</c:f>
              <c:numCache>
                <c:formatCode>0.00</c:formatCode>
                <c:ptCount val="5"/>
                <c:pt idx="0">
                  <c:v>-4.1935169758123596</c:v>
                </c:pt>
                <c:pt idx="1">
                  <c:v>-2.3114954716144975</c:v>
                </c:pt>
                <c:pt idx="2">
                  <c:v>-1.0779575248099666</c:v>
                </c:pt>
                <c:pt idx="3">
                  <c:v>-0.85326837900478736</c:v>
                </c:pt>
                <c:pt idx="4">
                  <c:v>-2.9739066868115889</c:v>
                </c:pt>
              </c:numCache>
            </c:numRef>
          </c:val>
          <c:smooth val="0"/>
          <c:extLst>
            <c:ext xmlns:c16="http://schemas.microsoft.com/office/drawing/2014/chart" uri="{C3380CC4-5D6E-409C-BE32-E72D297353CC}">
              <c16:uniqueId val="{00000003-DD49-4F7A-84BE-54C60137E597}"/>
            </c:ext>
          </c:extLst>
        </c:ser>
        <c:dLbls>
          <c:showLegendKey val="0"/>
          <c:showVal val="0"/>
          <c:showCatName val="0"/>
          <c:showSerName val="0"/>
          <c:showPercent val="0"/>
          <c:showBubbleSize val="0"/>
        </c:dLbls>
        <c:marker val="1"/>
        <c:smooth val="0"/>
        <c:axId val="626965408"/>
        <c:axId val="626971648"/>
      </c:lineChart>
      <c:catAx>
        <c:axId val="626965408"/>
        <c:scaling>
          <c:orientation val="minMax"/>
        </c:scaling>
        <c:delete val="0"/>
        <c:axPos val="b"/>
        <c:numFmt formatCode="General" sourceLinked="1"/>
        <c:majorTickMark val="out"/>
        <c:minorTickMark val="none"/>
        <c:tickLblPos val="high"/>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626971648"/>
        <c:crosses val="autoZero"/>
        <c:auto val="1"/>
        <c:lblAlgn val="ctr"/>
        <c:lblOffset val="100"/>
        <c:noMultiLvlLbl val="0"/>
      </c:catAx>
      <c:valAx>
        <c:axId val="626971648"/>
        <c:scaling>
          <c:orientation val="minMax"/>
          <c:max val="8"/>
          <c:min val="-8"/>
        </c:scaling>
        <c:delete val="0"/>
        <c:axPos val="l"/>
        <c:numFmt formatCode="#,##0" sourceLinked="0"/>
        <c:majorTickMark val="in"/>
        <c:minorTickMark val="none"/>
        <c:tickLblPos val="nextTo"/>
        <c:spPr>
          <a:noFill/>
          <a:ln w="6350">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Helvetica" panose="020B0604020202020204" pitchFamily="34" charset="0"/>
                <a:ea typeface="+mn-ea"/>
                <a:cs typeface="Segoe UI" panose="020B0502040204020203" pitchFamily="34" charset="0"/>
              </a:defRPr>
            </a:pPr>
            <a:endParaRPr lang="en-US"/>
          </a:p>
        </c:txPr>
        <c:crossAx val="626965408"/>
        <c:crosses val="autoZero"/>
        <c:crossBetween val="between"/>
        <c:majorUnit val="2"/>
      </c:valAx>
      <c:spPr>
        <a:noFill/>
        <a:ln w="31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5661134900723E-2"/>
          <c:y val="4.5699922521126507E-2"/>
          <c:w val="0.87406961541523132"/>
          <c:h val="0.74588496068492049"/>
        </c:manualLayout>
      </c:layout>
      <c:lineChart>
        <c:grouping val="standard"/>
        <c:varyColors val="0"/>
        <c:ser>
          <c:idx val="0"/>
          <c:order val="0"/>
          <c:tx>
            <c:strRef>
              <c:f>'Figure 2.7.'!$AC$6</c:f>
              <c:strCache>
                <c:ptCount val="1"/>
                <c:pt idx="0">
                  <c:v>Poorest</c:v>
                </c:pt>
              </c:strCache>
            </c:strRef>
          </c:tx>
          <c:spPr>
            <a:ln w="34925" cap="rnd">
              <a:solidFill>
                <a:srgbClr val="FF0000"/>
              </a:solidFill>
              <a:prstDash val="dashDot"/>
              <a:round/>
            </a:ln>
            <a:effectLst/>
          </c:spPr>
          <c:marker>
            <c:symbol val="circle"/>
            <c:size val="6"/>
            <c:spPr>
              <a:solidFill>
                <a:srgbClr val="FF0000"/>
              </a:solidFill>
              <a:ln w="15875">
                <a:solidFill>
                  <a:srgbClr val="FF0000"/>
                </a:solidFill>
              </a:ln>
              <a:effectLst/>
            </c:spPr>
          </c:marker>
          <c:cat>
            <c:strRef>
              <c:f>'Figure 2.7.'!$AB$7:$AB$11</c:f>
              <c:strCache>
                <c:ptCount val="5"/>
                <c:pt idx="0">
                  <c:v>&lt;36</c:v>
                </c:pt>
                <c:pt idx="1">
                  <c:v>36-45</c:v>
                </c:pt>
                <c:pt idx="2">
                  <c:v>46-55</c:v>
                </c:pt>
                <c:pt idx="3">
                  <c:v>56-65</c:v>
                </c:pt>
                <c:pt idx="4">
                  <c:v>&gt;65</c:v>
                </c:pt>
              </c:strCache>
            </c:strRef>
          </c:cat>
          <c:val>
            <c:numRef>
              <c:f>'Figure 2.7.'!$AC$7:$AC$11</c:f>
              <c:numCache>
                <c:formatCode>0.0</c:formatCode>
                <c:ptCount val="5"/>
                <c:pt idx="0">
                  <c:v>1.6080166489783314</c:v>
                </c:pt>
                <c:pt idx="1">
                  <c:v>7.1495433802593347</c:v>
                </c:pt>
                <c:pt idx="2">
                  <c:v>10.836589538966104</c:v>
                </c:pt>
                <c:pt idx="3">
                  <c:v>1.8055101975186376</c:v>
                </c:pt>
                <c:pt idx="4">
                  <c:v>0.36183220777788561</c:v>
                </c:pt>
              </c:numCache>
            </c:numRef>
          </c:val>
          <c:smooth val="0"/>
          <c:extLst>
            <c:ext xmlns:c16="http://schemas.microsoft.com/office/drawing/2014/chart" uri="{C3380CC4-5D6E-409C-BE32-E72D297353CC}">
              <c16:uniqueId val="{00000000-93E3-4E4E-818C-01CA071850B2}"/>
            </c:ext>
          </c:extLst>
        </c:ser>
        <c:ser>
          <c:idx val="1"/>
          <c:order val="1"/>
          <c:tx>
            <c:strRef>
              <c:f>'Figure 2.7.'!$AD$6</c:f>
              <c:strCache>
                <c:ptCount val="1"/>
                <c:pt idx="0">
                  <c:v>p20–p40</c:v>
                </c:pt>
              </c:strCache>
            </c:strRef>
          </c:tx>
          <c:spPr>
            <a:ln w="28575" cap="rnd">
              <a:solidFill>
                <a:srgbClr val="92D050"/>
              </a:solidFill>
              <a:prstDash val="dash"/>
              <a:round/>
            </a:ln>
            <a:effectLst/>
          </c:spPr>
          <c:marker>
            <c:symbol val="circle"/>
            <c:size val="5"/>
            <c:spPr>
              <a:solidFill>
                <a:srgbClr val="92D050"/>
              </a:solidFill>
              <a:ln w="9525">
                <a:solidFill>
                  <a:srgbClr val="92D050"/>
                </a:solidFill>
              </a:ln>
              <a:effectLst/>
            </c:spPr>
          </c:marker>
          <c:cat>
            <c:strRef>
              <c:f>'Figure 2.7.'!$AB$7:$AB$11</c:f>
              <c:strCache>
                <c:ptCount val="5"/>
                <c:pt idx="0">
                  <c:v>&lt;36</c:v>
                </c:pt>
                <c:pt idx="1">
                  <c:v>36-45</c:v>
                </c:pt>
                <c:pt idx="2">
                  <c:v>46-55</c:v>
                </c:pt>
                <c:pt idx="3">
                  <c:v>56-65</c:v>
                </c:pt>
                <c:pt idx="4">
                  <c:v>&gt;65</c:v>
                </c:pt>
              </c:strCache>
            </c:strRef>
          </c:cat>
          <c:val>
            <c:numRef>
              <c:f>'Figure 2.7.'!$AD$7:$AD$11</c:f>
              <c:numCache>
                <c:formatCode>0.0</c:formatCode>
                <c:ptCount val="5"/>
                <c:pt idx="0">
                  <c:v>1.2956598367614562</c:v>
                </c:pt>
                <c:pt idx="1">
                  <c:v>2.0800876049220558</c:v>
                </c:pt>
                <c:pt idx="2">
                  <c:v>1.9848508218939138</c:v>
                </c:pt>
                <c:pt idx="3">
                  <c:v>2.7913684778088323</c:v>
                </c:pt>
                <c:pt idx="4">
                  <c:v>-2.1425700520487245</c:v>
                </c:pt>
              </c:numCache>
            </c:numRef>
          </c:val>
          <c:smooth val="0"/>
          <c:extLst>
            <c:ext xmlns:c16="http://schemas.microsoft.com/office/drawing/2014/chart" uri="{C3380CC4-5D6E-409C-BE32-E72D297353CC}">
              <c16:uniqueId val="{00000001-93E3-4E4E-818C-01CA071850B2}"/>
            </c:ext>
          </c:extLst>
        </c:ser>
        <c:ser>
          <c:idx val="2"/>
          <c:order val="2"/>
          <c:tx>
            <c:strRef>
              <c:f>'Figure 2.7.'!$AE$6</c:f>
              <c:strCache>
                <c:ptCount val="1"/>
                <c:pt idx="0">
                  <c:v>p40–p60</c:v>
                </c:pt>
              </c:strCache>
            </c:strRef>
          </c:tx>
          <c:spPr>
            <a:ln w="28575" cap="rnd">
              <a:solidFill>
                <a:schemeClr val="accent5"/>
              </a:solidFill>
              <a:prstDash val="lgDashDotDot"/>
              <a:round/>
            </a:ln>
            <a:effectLst/>
          </c:spPr>
          <c:marker>
            <c:symbol val="circle"/>
            <c:size val="5"/>
            <c:spPr>
              <a:solidFill>
                <a:schemeClr val="accent5"/>
              </a:solidFill>
              <a:ln w="9525">
                <a:solidFill>
                  <a:schemeClr val="accent5"/>
                </a:solidFill>
              </a:ln>
              <a:effectLst/>
            </c:spPr>
          </c:marker>
          <c:cat>
            <c:strRef>
              <c:f>'Figure 2.7.'!$AB$7:$AB$11</c:f>
              <c:strCache>
                <c:ptCount val="5"/>
                <c:pt idx="0">
                  <c:v>&lt;36</c:v>
                </c:pt>
                <c:pt idx="1">
                  <c:v>36-45</c:v>
                </c:pt>
                <c:pt idx="2">
                  <c:v>46-55</c:v>
                </c:pt>
                <c:pt idx="3">
                  <c:v>56-65</c:v>
                </c:pt>
                <c:pt idx="4">
                  <c:v>&gt;65</c:v>
                </c:pt>
              </c:strCache>
            </c:strRef>
          </c:cat>
          <c:val>
            <c:numRef>
              <c:f>'Figure 2.7.'!$AE$7:$AE$11</c:f>
              <c:numCache>
                <c:formatCode>0.0</c:formatCode>
                <c:ptCount val="5"/>
                <c:pt idx="0">
                  <c:v>1.0859469992887185</c:v>
                </c:pt>
                <c:pt idx="1">
                  <c:v>2.228871918852275</c:v>
                </c:pt>
                <c:pt idx="2">
                  <c:v>1.8350874212283228</c:v>
                </c:pt>
                <c:pt idx="3">
                  <c:v>2.095165903052786</c:v>
                </c:pt>
                <c:pt idx="4">
                  <c:v>1.1139458963898226</c:v>
                </c:pt>
              </c:numCache>
            </c:numRef>
          </c:val>
          <c:smooth val="0"/>
          <c:extLst>
            <c:ext xmlns:c16="http://schemas.microsoft.com/office/drawing/2014/chart" uri="{C3380CC4-5D6E-409C-BE32-E72D297353CC}">
              <c16:uniqueId val="{00000002-93E3-4E4E-818C-01CA071850B2}"/>
            </c:ext>
          </c:extLst>
        </c:ser>
        <c:ser>
          <c:idx val="3"/>
          <c:order val="3"/>
          <c:tx>
            <c:strRef>
              <c:f>'Figure 2.7.'!$AF$6</c:f>
              <c:strCache>
                <c:ptCount val="1"/>
                <c:pt idx="0">
                  <c:v>p60–p80 </c:v>
                </c:pt>
              </c:strCache>
            </c:strRef>
          </c:tx>
          <c:spPr>
            <a:ln w="28575" cap="rnd">
              <a:solidFill>
                <a:schemeClr val="accent4"/>
              </a:solidFill>
              <a:prstDash val="lgDash"/>
              <a:round/>
            </a:ln>
            <a:effectLst/>
          </c:spPr>
          <c:marker>
            <c:symbol val="circle"/>
            <c:size val="5"/>
            <c:spPr>
              <a:solidFill>
                <a:schemeClr val="accent4"/>
              </a:solidFill>
              <a:ln w="9525">
                <a:solidFill>
                  <a:schemeClr val="accent4"/>
                </a:solidFill>
              </a:ln>
              <a:effectLst/>
            </c:spPr>
          </c:marker>
          <c:cat>
            <c:strRef>
              <c:f>'Figure 2.7.'!$AB$7:$AB$11</c:f>
              <c:strCache>
                <c:ptCount val="5"/>
                <c:pt idx="0">
                  <c:v>&lt;36</c:v>
                </c:pt>
                <c:pt idx="1">
                  <c:v>36-45</c:v>
                </c:pt>
                <c:pt idx="2">
                  <c:v>46-55</c:v>
                </c:pt>
                <c:pt idx="3">
                  <c:v>56-65</c:v>
                </c:pt>
                <c:pt idx="4">
                  <c:v>&gt;65</c:v>
                </c:pt>
              </c:strCache>
            </c:strRef>
          </c:cat>
          <c:val>
            <c:numRef>
              <c:f>'Figure 2.7.'!$AF$7:$AF$11</c:f>
              <c:numCache>
                <c:formatCode>0.0</c:formatCode>
                <c:ptCount val="5"/>
                <c:pt idx="0">
                  <c:v>1.3129994106228318</c:v>
                </c:pt>
                <c:pt idx="1">
                  <c:v>1.8059391716693938</c:v>
                </c:pt>
                <c:pt idx="2">
                  <c:v>1.8156801041573891</c:v>
                </c:pt>
                <c:pt idx="3">
                  <c:v>1.7494019350312404</c:v>
                </c:pt>
                <c:pt idx="4">
                  <c:v>1.1595912012209626</c:v>
                </c:pt>
              </c:numCache>
            </c:numRef>
          </c:val>
          <c:smooth val="0"/>
          <c:extLst>
            <c:ext xmlns:c16="http://schemas.microsoft.com/office/drawing/2014/chart" uri="{C3380CC4-5D6E-409C-BE32-E72D297353CC}">
              <c16:uniqueId val="{00000003-93E3-4E4E-818C-01CA071850B2}"/>
            </c:ext>
          </c:extLst>
        </c:ser>
        <c:ser>
          <c:idx val="4"/>
          <c:order val="4"/>
          <c:tx>
            <c:strRef>
              <c:f>'Figure 2.7.'!$AG$6</c:f>
              <c:strCache>
                <c:ptCount val="1"/>
                <c:pt idx="0">
                  <c:v>Richest</c:v>
                </c:pt>
              </c:strCache>
            </c:strRef>
          </c:tx>
          <c:spPr>
            <a:ln w="31750" cap="rnd">
              <a:solidFill>
                <a:schemeClr val="accent4">
                  <a:lumMod val="50000"/>
                </a:schemeClr>
              </a:solidFill>
              <a:round/>
            </a:ln>
            <a:effectLst/>
          </c:spPr>
          <c:marker>
            <c:symbol val="circle"/>
            <c:size val="6"/>
            <c:spPr>
              <a:solidFill>
                <a:schemeClr val="accent4">
                  <a:lumMod val="50000"/>
                </a:schemeClr>
              </a:solidFill>
              <a:ln w="12700">
                <a:solidFill>
                  <a:schemeClr val="accent4">
                    <a:lumMod val="50000"/>
                  </a:schemeClr>
                </a:solidFill>
              </a:ln>
              <a:effectLst/>
            </c:spPr>
          </c:marker>
          <c:cat>
            <c:strRef>
              <c:f>'Figure 2.7.'!$AB$7:$AB$11</c:f>
              <c:strCache>
                <c:ptCount val="5"/>
                <c:pt idx="0">
                  <c:v>&lt;36</c:v>
                </c:pt>
                <c:pt idx="1">
                  <c:v>36-45</c:v>
                </c:pt>
                <c:pt idx="2">
                  <c:v>46-55</c:v>
                </c:pt>
                <c:pt idx="3">
                  <c:v>56-65</c:v>
                </c:pt>
                <c:pt idx="4">
                  <c:v>&gt;65</c:v>
                </c:pt>
              </c:strCache>
            </c:strRef>
          </c:cat>
          <c:val>
            <c:numRef>
              <c:f>'Figure 2.7.'!$AG$7:$AG$11</c:f>
              <c:numCache>
                <c:formatCode>0.0</c:formatCode>
                <c:ptCount val="5"/>
                <c:pt idx="0">
                  <c:v>0.47085597454664768</c:v>
                </c:pt>
                <c:pt idx="1">
                  <c:v>3.1915783329955807</c:v>
                </c:pt>
                <c:pt idx="2">
                  <c:v>2.5805356305833431</c:v>
                </c:pt>
                <c:pt idx="3">
                  <c:v>2.2484788686662727</c:v>
                </c:pt>
                <c:pt idx="4">
                  <c:v>0.93374930885008045</c:v>
                </c:pt>
              </c:numCache>
            </c:numRef>
          </c:val>
          <c:smooth val="0"/>
          <c:extLst>
            <c:ext xmlns:c16="http://schemas.microsoft.com/office/drawing/2014/chart" uri="{C3380CC4-5D6E-409C-BE32-E72D297353CC}">
              <c16:uniqueId val="{00000004-93E3-4E4E-818C-01CA071850B2}"/>
            </c:ext>
          </c:extLst>
        </c:ser>
        <c:dLbls>
          <c:showLegendKey val="0"/>
          <c:showVal val="0"/>
          <c:showCatName val="0"/>
          <c:showSerName val="0"/>
          <c:showPercent val="0"/>
          <c:showBubbleSize val="0"/>
        </c:dLbls>
        <c:marker val="1"/>
        <c:smooth val="0"/>
        <c:axId val="1724947664"/>
        <c:axId val="1724958064"/>
      </c:lineChart>
      <c:catAx>
        <c:axId val="172494766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r>
                  <a:rPr lang="en-US" sz="2000"/>
                  <a:t>Age of the head of household</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58064"/>
        <c:crosses val="autoZero"/>
        <c:auto val="1"/>
        <c:lblAlgn val="ctr"/>
        <c:lblOffset val="100"/>
        <c:noMultiLvlLbl val="0"/>
      </c:catAx>
      <c:valAx>
        <c:axId val="1724958064"/>
        <c:scaling>
          <c:orientation val="minMax"/>
          <c:max val="12"/>
          <c:min val="-21"/>
        </c:scaling>
        <c:delete val="0"/>
        <c:axPos val="l"/>
        <c:numFmt formatCode="#,##0" sourceLinked="0"/>
        <c:majorTickMark val="in"/>
        <c:minorTickMark val="none"/>
        <c:tickLblPos val="nextTo"/>
        <c:spPr>
          <a:noFill/>
          <a:ln w="12700">
            <a:solidFill>
              <a:schemeClr val="tx1"/>
            </a:solid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47664"/>
        <c:crosses val="autoZero"/>
        <c:crossBetween val="between"/>
        <c:majorUnit val="3"/>
      </c:valAx>
      <c:spPr>
        <a:noFill/>
        <a:ln w="3175">
          <a:noFill/>
        </a:ln>
        <a:effectLst/>
      </c:spPr>
    </c:plotArea>
    <c:legend>
      <c:legendPos val="b"/>
      <c:layout>
        <c:manualLayout>
          <c:xMode val="edge"/>
          <c:yMode val="edge"/>
          <c:x val="0.20415067142898005"/>
          <c:y val="0.51335752915808819"/>
          <c:w val="0.72760353074193451"/>
          <c:h val="0.3057671825977640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1023108160086"/>
          <c:y val="4.9912750939302954E-2"/>
          <c:w val="0.78985417593539575"/>
          <c:h val="0.81792457279401365"/>
        </c:manualLayout>
      </c:layout>
      <c:barChart>
        <c:barDir val="col"/>
        <c:grouping val="clustered"/>
        <c:varyColors val="0"/>
        <c:ser>
          <c:idx val="3"/>
          <c:order val="0"/>
          <c:tx>
            <c:v>Primary balance</c:v>
          </c:tx>
          <c:spPr>
            <a:solidFill>
              <a:schemeClr val="accent1"/>
            </a:solidFill>
            <a:ln>
              <a:noFill/>
            </a:ln>
            <a:effectLst/>
          </c:spPr>
          <c:invertIfNegative val="0"/>
          <c:val>
            <c:numRef>
              <c:f>'Figure 1.4'!$C$33:$K$33</c:f>
              <c:numCache>
                <c:formatCode>0.0</c:formatCode>
                <c:ptCount val="9"/>
                <c:pt idx="0">
                  <c:v>-1.552906741319019</c:v>
                </c:pt>
                <c:pt idx="1">
                  <c:v>-9.0052112151367911</c:v>
                </c:pt>
                <c:pt idx="2">
                  <c:v>-6.1749743242143174</c:v>
                </c:pt>
                <c:pt idx="3">
                  <c:v>-2.8098067403715281</c:v>
                </c:pt>
                <c:pt idx="4">
                  <c:v>-2.8262202416299607</c:v>
                </c:pt>
                <c:pt idx="5">
                  <c:v>-2.4433287178974732</c:v>
                </c:pt>
                <c:pt idx="6">
                  <c:v>-2.2841809046509036</c:v>
                </c:pt>
                <c:pt idx="7">
                  <c:v>-2.0683038397009921</c:v>
                </c:pt>
                <c:pt idx="8">
                  <c:v>-1.8781953257351676</c:v>
                </c:pt>
              </c:numCache>
            </c:numRef>
          </c:val>
          <c:extLst>
            <c:ext xmlns:c15="http://schemas.microsoft.com/office/drawing/2012/chart" uri="{02D57815-91ED-43cb-92C2-25804820EDAC}">
              <c15:filteredCategoryTitle>
                <c15:cat>
                  <c:strRef>
                    <c:extLst>
                      <c:ext uri="{02D57815-91ED-43cb-92C2-25804820EDAC}">
                        <c15:formulaRef>
                          <c15:sqref>[228]Figure1!#REF!</c15:sqref>
                        </c15:formulaRef>
                      </c:ext>
                    </c:extLst>
                    <c:strCache>
                      <c:ptCount val="1"/>
                      <c:pt idx="0">
                        <c:v>#REF!</c:v>
                      </c:pt>
                    </c:strCache>
                  </c:strRef>
                </c15:cat>
              </c15:filteredCategoryTitle>
            </c:ext>
            <c:ext xmlns:c16="http://schemas.microsoft.com/office/drawing/2014/chart" uri="{C3380CC4-5D6E-409C-BE32-E72D297353CC}">
              <c16:uniqueId val="{00000000-DF81-4F40-BFE1-688ED27FA252}"/>
            </c:ext>
          </c:extLst>
        </c:ser>
        <c:dLbls>
          <c:showLegendKey val="0"/>
          <c:showVal val="0"/>
          <c:showCatName val="0"/>
          <c:showSerName val="0"/>
          <c:showPercent val="0"/>
          <c:showBubbleSize val="0"/>
        </c:dLbls>
        <c:gapWidth val="150"/>
        <c:axId val="935562496"/>
        <c:axId val="938717200"/>
        <c:extLst>
          <c:ext xmlns:c15="http://schemas.microsoft.com/office/drawing/2012/chart" uri="{02D57815-91ED-43cb-92C2-25804820EDAC}">
            <c15:filteredBarSeries>
              <c15:ser>
                <c:idx val="2"/>
                <c:order val="1"/>
                <c:tx>
                  <c:v>Output gap (percent)</c:v>
                </c:tx>
                <c:spPr>
                  <a:solidFill>
                    <a:schemeClr val="accent3"/>
                  </a:solidFill>
                  <a:ln>
                    <a:solidFill>
                      <a:srgbClr val="002060"/>
                    </a:solidFill>
                    <a:prstDash val="sysDash"/>
                  </a:ln>
                  <a:effectLst/>
                </c:spPr>
                <c:invertIfNegative val="0"/>
                <c:val>
                  <c:numLit>
                    <c:formatCode>General</c:formatCode>
                    <c:ptCount val="9"/>
                    <c:pt idx="0">
                      <c:v>0.27882683659716329</c:v>
                    </c:pt>
                    <c:pt idx="1">
                      <c:v>-3.3038272087771055</c:v>
                    </c:pt>
                    <c:pt idx="2">
                      <c:v>-0.22231267105591496</c:v>
                    </c:pt>
                    <c:pt idx="3">
                      <c:v>0.64674647332885493</c:v>
                    </c:pt>
                    <c:pt idx="4">
                      <c:v>2.0002633360595518E-2</c:v>
                    </c:pt>
                    <c:pt idx="5">
                      <c:v>-0.28428677159594196</c:v>
                    </c:pt>
                    <c:pt idx="6">
                      <c:v>-0.27587741637142177</c:v>
                    </c:pt>
                    <c:pt idx="7">
                      <c:v>-0.17836289617016693</c:v>
                    </c:pt>
                    <c:pt idx="8">
                      <c:v>-0.14486432183273235</c:v>
                    </c:pt>
                  </c:numLit>
                </c:val>
                <c:extLst>
                  <c:ext uri="{02D57815-91ED-43cb-92C2-25804820EDAC}">
                    <c15:filteredCategoryTitle>
                      <c15:cat>
                        <c:strRef>
                          <c:extLst>
                            <c:ext uri="{02D57815-91ED-43cb-92C2-25804820EDAC}">
                              <c15:formulaRef>
                                <c15:sqref>[228]Figure1!#REF!</c15:sqref>
                              </c15:formulaRef>
                            </c:ext>
                          </c:extLst>
                          <c:strCache>
                            <c:ptCount val="1"/>
                            <c:pt idx="0">
                              <c:v>#REF!</c:v>
                            </c:pt>
                          </c:strCache>
                        </c:strRef>
                      </c15:cat>
                    </c15:filteredCategoryTitle>
                  </c:ext>
                  <c:ext xmlns:c16="http://schemas.microsoft.com/office/drawing/2014/chart" uri="{C3380CC4-5D6E-409C-BE32-E72D297353CC}">
                    <c16:uniqueId val="{00000002-DF81-4F40-BFE1-688ED27FA252}"/>
                  </c:ext>
                </c:extLst>
              </c15:ser>
            </c15:filteredBarSeries>
          </c:ext>
        </c:extLst>
      </c:barChart>
      <c:lineChart>
        <c:grouping val="standard"/>
        <c:varyColors val="0"/>
        <c:ser>
          <c:idx val="0"/>
          <c:order val="2"/>
          <c:tx>
            <c:v>Gross debt (right scale)</c:v>
          </c:tx>
          <c:spPr>
            <a:ln w="25400" cap="rnd">
              <a:solidFill>
                <a:schemeClr val="accent1"/>
              </a:solidFill>
              <a:prstDash val="sysDash"/>
              <a:round/>
            </a:ln>
            <a:effectLst/>
          </c:spPr>
          <c:marker>
            <c:symbol val="none"/>
          </c:marker>
          <c:val>
            <c:numRef>
              <c:f>'Figure 1.4'!$C$34:$K$34</c:f>
              <c:numCache>
                <c:formatCode>0.0</c:formatCode>
                <c:ptCount val="9"/>
                <c:pt idx="0">
                  <c:v>104.0724715254499</c:v>
                </c:pt>
                <c:pt idx="1">
                  <c:v>122.9923397204502</c:v>
                </c:pt>
                <c:pt idx="2">
                  <c:v>117.42870236130692</c:v>
                </c:pt>
                <c:pt idx="3">
                  <c:v>112.5511659500871</c:v>
                </c:pt>
                <c:pt idx="4">
                  <c:v>112.48562058643626</c:v>
                </c:pt>
                <c:pt idx="5">
                  <c:v>113.70456050321371</c:v>
                </c:pt>
                <c:pt idx="6">
                  <c:v>115.03912885920248</c:v>
                </c:pt>
                <c:pt idx="7">
                  <c:v>115.95641616532245</c:v>
                </c:pt>
                <c:pt idx="8">
                  <c:v>116.78980933416149</c:v>
                </c:pt>
              </c:numCache>
            </c:numRef>
          </c:val>
          <c:smooth val="0"/>
          <c:extLst>
            <c:ext xmlns:c16="http://schemas.microsoft.com/office/drawing/2014/chart" uri="{C3380CC4-5D6E-409C-BE32-E72D297353CC}">
              <c16:uniqueId val="{00000001-DF81-4F40-BFE1-688ED27FA252}"/>
            </c:ext>
          </c:extLst>
        </c:ser>
        <c:dLbls>
          <c:showLegendKey val="0"/>
          <c:showVal val="0"/>
          <c:showCatName val="0"/>
          <c:showSerName val="0"/>
          <c:showPercent val="0"/>
          <c:showBubbleSize val="0"/>
        </c:dLbls>
        <c:marker val="1"/>
        <c:smooth val="0"/>
        <c:axId val="1991363920"/>
        <c:axId val="1991363504"/>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938717200"/>
        <c:crosses val="autoZero"/>
        <c:auto val="1"/>
        <c:lblAlgn val="ctr"/>
        <c:lblOffset val="100"/>
        <c:noMultiLvlLbl val="0"/>
      </c:catAx>
      <c:valAx>
        <c:axId val="938717200"/>
        <c:scaling>
          <c:orientation val="minMax"/>
          <c:max val="8"/>
          <c:min val="-1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935562496"/>
        <c:crosses val="autoZero"/>
        <c:crossBetween val="between"/>
      </c:valAx>
      <c:valAx>
        <c:axId val="1991363504"/>
        <c:scaling>
          <c:orientation val="minMax"/>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991363920"/>
        <c:crosses val="max"/>
        <c:crossBetween val="between"/>
      </c:valAx>
      <c:catAx>
        <c:axId val="1991363920"/>
        <c:scaling>
          <c:orientation val="minMax"/>
        </c:scaling>
        <c:delete val="1"/>
        <c:axPos val="b"/>
        <c:majorTickMark val="out"/>
        <c:minorTickMark val="none"/>
        <c:tickLblPos val="nextTo"/>
        <c:crossAx val="1991363504"/>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32083316871570716"/>
          <c:y val="5.7043593918407583E-2"/>
          <c:w val="0.47342921861101034"/>
          <c:h val="0.1572526764238889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8623265545251E-2"/>
          <c:y val="4.5699922521126507E-2"/>
          <c:w val="0.87594012239324159"/>
          <c:h val="0.76601215576363901"/>
        </c:manualLayout>
      </c:layout>
      <c:lineChart>
        <c:grouping val="standard"/>
        <c:varyColors val="0"/>
        <c:ser>
          <c:idx val="0"/>
          <c:order val="0"/>
          <c:tx>
            <c:strRef>
              <c:f>'Figure 2.7.'!$AC$6</c:f>
              <c:strCache>
                <c:ptCount val="1"/>
                <c:pt idx="0">
                  <c:v>Poorest</c:v>
                </c:pt>
              </c:strCache>
            </c:strRef>
          </c:tx>
          <c:spPr>
            <a:ln w="34925" cap="rnd">
              <a:solidFill>
                <a:srgbClr val="FF0000"/>
              </a:solidFill>
              <a:prstDash val="dashDot"/>
              <a:round/>
            </a:ln>
            <a:effectLst/>
          </c:spPr>
          <c:marker>
            <c:symbol val="circle"/>
            <c:size val="6"/>
            <c:spPr>
              <a:solidFill>
                <a:srgbClr val="FF0000"/>
              </a:solidFill>
              <a:ln w="15875">
                <a:solidFill>
                  <a:srgbClr val="FF0000"/>
                </a:solidFill>
              </a:ln>
              <a:effectLst/>
            </c:spPr>
          </c:marker>
          <c:cat>
            <c:strRef>
              <c:f>'Figure 2.7.'!$AB$13:$AB$17</c:f>
              <c:strCache>
                <c:ptCount val="5"/>
                <c:pt idx="0">
                  <c:v>&lt;36</c:v>
                </c:pt>
                <c:pt idx="1">
                  <c:v>36-45</c:v>
                </c:pt>
                <c:pt idx="2">
                  <c:v>46-55</c:v>
                </c:pt>
                <c:pt idx="3">
                  <c:v>56-65</c:v>
                </c:pt>
                <c:pt idx="4">
                  <c:v>&gt;65</c:v>
                </c:pt>
              </c:strCache>
            </c:strRef>
          </c:cat>
          <c:val>
            <c:numRef>
              <c:f>'Figure 2.7.'!$AC$13:$AC$17</c:f>
              <c:numCache>
                <c:formatCode>0.0</c:formatCode>
                <c:ptCount val="5"/>
                <c:pt idx="0">
                  <c:v>2.0942378573990847</c:v>
                </c:pt>
                <c:pt idx="1">
                  <c:v>2.0983508971646203</c:v>
                </c:pt>
                <c:pt idx="2">
                  <c:v>5.0071922292239108</c:v>
                </c:pt>
                <c:pt idx="3">
                  <c:v>-2.3255351151977246</c:v>
                </c:pt>
                <c:pt idx="4">
                  <c:v>-10.093321920853757</c:v>
                </c:pt>
              </c:numCache>
            </c:numRef>
          </c:val>
          <c:smooth val="0"/>
          <c:extLst>
            <c:ext xmlns:c16="http://schemas.microsoft.com/office/drawing/2014/chart" uri="{C3380CC4-5D6E-409C-BE32-E72D297353CC}">
              <c16:uniqueId val="{00000000-6606-4A85-8F8C-49143A1FB2FE}"/>
            </c:ext>
          </c:extLst>
        </c:ser>
        <c:ser>
          <c:idx val="1"/>
          <c:order val="1"/>
          <c:tx>
            <c:strRef>
              <c:f>'Figure 2.7.'!$AD$6</c:f>
              <c:strCache>
                <c:ptCount val="1"/>
                <c:pt idx="0">
                  <c:v>p20–p40</c:v>
                </c:pt>
              </c:strCache>
            </c:strRef>
          </c:tx>
          <c:spPr>
            <a:ln w="28575" cap="rnd">
              <a:solidFill>
                <a:srgbClr val="92D050"/>
              </a:solidFill>
              <a:prstDash val="dash"/>
              <a:round/>
            </a:ln>
            <a:effectLst/>
          </c:spPr>
          <c:marker>
            <c:symbol val="circle"/>
            <c:size val="5"/>
            <c:spPr>
              <a:solidFill>
                <a:srgbClr val="92D050"/>
              </a:solidFill>
              <a:ln w="9525">
                <a:noFill/>
                <a:prstDash val="sysDot"/>
              </a:ln>
              <a:effectLst/>
            </c:spPr>
          </c:marker>
          <c:cat>
            <c:strRef>
              <c:f>'Figure 2.7.'!$AB$13:$AB$17</c:f>
              <c:strCache>
                <c:ptCount val="5"/>
                <c:pt idx="0">
                  <c:v>&lt;36</c:v>
                </c:pt>
                <c:pt idx="1">
                  <c:v>36-45</c:v>
                </c:pt>
                <c:pt idx="2">
                  <c:v>46-55</c:v>
                </c:pt>
                <c:pt idx="3">
                  <c:v>56-65</c:v>
                </c:pt>
                <c:pt idx="4">
                  <c:v>&gt;65</c:v>
                </c:pt>
              </c:strCache>
            </c:strRef>
          </c:cat>
          <c:val>
            <c:numRef>
              <c:f>'Figure 2.7.'!$AD$13:$AD$17</c:f>
              <c:numCache>
                <c:formatCode>0.0</c:formatCode>
                <c:ptCount val="5"/>
                <c:pt idx="0">
                  <c:v>1.95575133501972</c:v>
                </c:pt>
                <c:pt idx="1">
                  <c:v>2.5629451397331011</c:v>
                </c:pt>
                <c:pt idx="2">
                  <c:v>1.9195568316770346</c:v>
                </c:pt>
                <c:pt idx="3">
                  <c:v>-1.4226739298800488</c:v>
                </c:pt>
                <c:pt idx="4">
                  <c:v>-9.4280464736693457</c:v>
                </c:pt>
              </c:numCache>
            </c:numRef>
          </c:val>
          <c:smooth val="0"/>
          <c:extLst>
            <c:ext xmlns:c16="http://schemas.microsoft.com/office/drawing/2014/chart" uri="{C3380CC4-5D6E-409C-BE32-E72D297353CC}">
              <c16:uniqueId val="{00000001-6606-4A85-8F8C-49143A1FB2FE}"/>
            </c:ext>
          </c:extLst>
        </c:ser>
        <c:ser>
          <c:idx val="2"/>
          <c:order val="2"/>
          <c:tx>
            <c:strRef>
              <c:f>'Figure 2.7.'!$AE$6</c:f>
              <c:strCache>
                <c:ptCount val="1"/>
                <c:pt idx="0">
                  <c:v>p40–p60</c:v>
                </c:pt>
              </c:strCache>
            </c:strRef>
          </c:tx>
          <c:spPr>
            <a:ln w="28575" cap="rnd">
              <a:solidFill>
                <a:schemeClr val="accent5"/>
              </a:solidFill>
              <a:prstDash val="lgDashDotDot"/>
              <a:round/>
            </a:ln>
            <a:effectLst/>
          </c:spPr>
          <c:marker>
            <c:symbol val="circle"/>
            <c:size val="5"/>
            <c:spPr>
              <a:solidFill>
                <a:schemeClr val="accent5"/>
              </a:solidFill>
              <a:ln w="9525">
                <a:solidFill>
                  <a:schemeClr val="accent5"/>
                </a:solidFill>
              </a:ln>
              <a:effectLst/>
            </c:spPr>
          </c:marker>
          <c:cat>
            <c:strRef>
              <c:f>'Figure 2.7.'!$AB$13:$AB$17</c:f>
              <c:strCache>
                <c:ptCount val="5"/>
                <c:pt idx="0">
                  <c:v>&lt;36</c:v>
                </c:pt>
                <c:pt idx="1">
                  <c:v>36-45</c:v>
                </c:pt>
                <c:pt idx="2">
                  <c:v>46-55</c:v>
                </c:pt>
                <c:pt idx="3">
                  <c:v>56-65</c:v>
                </c:pt>
                <c:pt idx="4">
                  <c:v>&gt;65</c:v>
                </c:pt>
              </c:strCache>
            </c:strRef>
          </c:cat>
          <c:val>
            <c:numRef>
              <c:f>'Figure 2.7.'!$AE$13:$AE$17</c:f>
              <c:numCache>
                <c:formatCode>0.0</c:formatCode>
                <c:ptCount val="5"/>
                <c:pt idx="0">
                  <c:v>5.6119622737952763</c:v>
                </c:pt>
                <c:pt idx="1">
                  <c:v>4.0849357643635535</c:v>
                </c:pt>
                <c:pt idx="2">
                  <c:v>1.4386493708034729</c:v>
                </c:pt>
                <c:pt idx="3">
                  <c:v>-0.72830552861760045</c:v>
                </c:pt>
                <c:pt idx="4">
                  <c:v>-10.427602307795995</c:v>
                </c:pt>
              </c:numCache>
            </c:numRef>
          </c:val>
          <c:smooth val="0"/>
          <c:extLst>
            <c:ext xmlns:c16="http://schemas.microsoft.com/office/drawing/2014/chart" uri="{C3380CC4-5D6E-409C-BE32-E72D297353CC}">
              <c16:uniqueId val="{00000002-6606-4A85-8F8C-49143A1FB2FE}"/>
            </c:ext>
          </c:extLst>
        </c:ser>
        <c:ser>
          <c:idx val="3"/>
          <c:order val="3"/>
          <c:tx>
            <c:strRef>
              <c:f>'Figure 2.7.'!$AF$6</c:f>
              <c:strCache>
                <c:ptCount val="1"/>
                <c:pt idx="0">
                  <c:v>p60–p80 </c:v>
                </c:pt>
              </c:strCache>
            </c:strRef>
          </c:tx>
          <c:spPr>
            <a:ln w="28575" cap="rnd">
              <a:solidFill>
                <a:schemeClr val="accent4"/>
              </a:solidFill>
              <a:prstDash val="lgDash"/>
              <a:round/>
            </a:ln>
            <a:effectLst/>
          </c:spPr>
          <c:marker>
            <c:symbol val="circle"/>
            <c:size val="5"/>
            <c:spPr>
              <a:solidFill>
                <a:schemeClr val="accent4"/>
              </a:solidFill>
              <a:ln w="9525">
                <a:solidFill>
                  <a:schemeClr val="accent4"/>
                </a:solidFill>
                <a:prstDash val="dash"/>
              </a:ln>
              <a:effectLst/>
            </c:spPr>
          </c:marker>
          <c:cat>
            <c:strRef>
              <c:f>'Figure 2.7.'!$AB$13:$AB$17</c:f>
              <c:strCache>
                <c:ptCount val="5"/>
                <c:pt idx="0">
                  <c:v>&lt;36</c:v>
                </c:pt>
                <c:pt idx="1">
                  <c:v>36-45</c:v>
                </c:pt>
                <c:pt idx="2">
                  <c:v>46-55</c:v>
                </c:pt>
                <c:pt idx="3">
                  <c:v>56-65</c:v>
                </c:pt>
                <c:pt idx="4">
                  <c:v>&gt;65</c:v>
                </c:pt>
              </c:strCache>
            </c:strRef>
          </c:cat>
          <c:val>
            <c:numRef>
              <c:f>'Figure 2.7.'!$AF$13:$AF$17</c:f>
              <c:numCache>
                <c:formatCode>0.0</c:formatCode>
                <c:ptCount val="5"/>
                <c:pt idx="0">
                  <c:v>8.0945514747091281</c:v>
                </c:pt>
                <c:pt idx="1">
                  <c:v>6.0873242686751574</c:v>
                </c:pt>
                <c:pt idx="2">
                  <c:v>2.615386945255934</c:v>
                </c:pt>
                <c:pt idx="3">
                  <c:v>-1.4465439713364427</c:v>
                </c:pt>
                <c:pt idx="4">
                  <c:v>-10.56288582581592</c:v>
                </c:pt>
              </c:numCache>
            </c:numRef>
          </c:val>
          <c:smooth val="0"/>
          <c:extLst>
            <c:ext xmlns:c16="http://schemas.microsoft.com/office/drawing/2014/chart" uri="{C3380CC4-5D6E-409C-BE32-E72D297353CC}">
              <c16:uniqueId val="{00000003-6606-4A85-8F8C-49143A1FB2FE}"/>
            </c:ext>
          </c:extLst>
        </c:ser>
        <c:ser>
          <c:idx val="4"/>
          <c:order val="4"/>
          <c:tx>
            <c:strRef>
              <c:f>'Figure 2.7.'!$AG$6</c:f>
              <c:strCache>
                <c:ptCount val="1"/>
                <c:pt idx="0">
                  <c:v>Richest</c:v>
                </c:pt>
              </c:strCache>
            </c:strRef>
          </c:tx>
          <c:spPr>
            <a:ln w="31750" cap="rnd">
              <a:solidFill>
                <a:schemeClr val="accent4">
                  <a:lumMod val="50000"/>
                </a:schemeClr>
              </a:solidFill>
              <a:round/>
            </a:ln>
            <a:effectLst/>
          </c:spPr>
          <c:marker>
            <c:symbol val="circle"/>
            <c:size val="6"/>
            <c:spPr>
              <a:solidFill>
                <a:schemeClr val="accent4">
                  <a:lumMod val="50000"/>
                </a:schemeClr>
              </a:solidFill>
              <a:ln w="9525">
                <a:solidFill>
                  <a:schemeClr val="accent4">
                    <a:lumMod val="50000"/>
                  </a:schemeClr>
                </a:solidFill>
              </a:ln>
              <a:effectLst/>
            </c:spPr>
          </c:marker>
          <c:cat>
            <c:strRef>
              <c:f>'Figure 2.7.'!$AB$13:$AB$17</c:f>
              <c:strCache>
                <c:ptCount val="5"/>
                <c:pt idx="0">
                  <c:v>&lt;36</c:v>
                </c:pt>
                <c:pt idx="1">
                  <c:v>36-45</c:v>
                </c:pt>
                <c:pt idx="2">
                  <c:v>46-55</c:v>
                </c:pt>
                <c:pt idx="3">
                  <c:v>56-65</c:v>
                </c:pt>
                <c:pt idx="4">
                  <c:v>&gt;65</c:v>
                </c:pt>
              </c:strCache>
            </c:strRef>
          </c:cat>
          <c:val>
            <c:numRef>
              <c:f>'Figure 2.7.'!$AG$13:$AG$17</c:f>
              <c:numCache>
                <c:formatCode>0.0</c:formatCode>
                <c:ptCount val="5"/>
                <c:pt idx="0">
                  <c:v>9.4946211628816215</c:v>
                </c:pt>
                <c:pt idx="1">
                  <c:v>7.2094809890430103</c:v>
                </c:pt>
                <c:pt idx="2">
                  <c:v>2.9346159434337795</c:v>
                </c:pt>
                <c:pt idx="3">
                  <c:v>-4.9571440279280905</c:v>
                </c:pt>
                <c:pt idx="4">
                  <c:v>-19.178558576193709</c:v>
                </c:pt>
              </c:numCache>
            </c:numRef>
          </c:val>
          <c:smooth val="0"/>
          <c:extLst>
            <c:ext xmlns:c16="http://schemas.microsoft.com/office/drawing/2014/chart" uri="{C3380CC4-5D6E-409C-BE32-E72D297353CC}">
              <c16:uniqueId val="{00000004-6606-4A85-8F8C-49143A1FB2FE}"/>
            </c:ext>
          </c:extLst>
        </c:ser>
        <c:dLbls>
          <c:showLegendKey val="0"/>
          <c:showVal val="0"/>
          <c:showCatName val="0"/>
          <c:showSerName val="0"/>
          <c:showPercent val="0"/>
          <c:showBubbleSize val="0"/>
        </c:dLbls>
        <c:marker val="1"/>
        <c:smooth val="0"/>
        <c:axId val="1724947664"/>
        <c:axId val="1724958064"/>
      </c:lineChart>
      <c:catAx>
        <c:axId val="172494766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r>
                  <a:rPr lang="en-US" sz="2000" b="0" i="0" baseline="0">
                    <a:effectLst/>
                    <a:latin typeface="Arial" panose="020B0604020202020204" pitchFamily="34" charset="0"/>
                    <a:cs typeface="Arial" panose="020B0604020202020204" pitchFamily="34" charset="0"/>
                  </a:rPr>
                  <a:t>Age of the head of household</a:t>
                </a:r>
                <a:endParaRPr lang="en-US" sz="2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58064"/>
        <c:crosses val="autoZero"/>
        <c:auto val="1"/>
        <c:lblAlgn val="ctr"/>
        <c:lblOffset val="100"/>
        <c:noMultiLvlLbl val="0"/>
      </c:catAx>
      <c:valAx>
        <c:axId val="1724958064"/>
        <c:scaling>
          <c:orientation val="minMax"/>
          <c:min val="-21"/>
        </c:scaling>
        <c:delete val="0"/>
        <c:axPos val="l"/>
        <c:numFmt formatCode="#,##0" sourceLinked="0"/>
        <c:majorTickMark val="in"/>
        <c:minorTickMark val="none"/>
        <c:tickLblPos val="nextTo"/>
        <c:spPr>
          <a:noFill/>
          <a:ln w="12700">
            <a:solidFill>
              <a:schemeClr val="tx1"/>
            </a:solid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47664"/>
        <c:crosses val="autoZero"/>
        <c:crossBetween val="between"/>
        <c:majorUnit val="3"/>
      </c:valAx>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96747277793178E-2"/>
          <c:y val="4.5699922521126507E-2"/>
          <c:w val="0.86672938665169896"/>
          <c:h val="0.77067879886469337"/>
        </c:manualLayout>
      </c:layout>
      <c:lineChart>
        <c:grouping val="standard"/>
        <c:varyColors val="0"/>
        <c:ser>
          <c:idx val="0"/>
          <c:order val="0"/>
          <c:tx>
            <c:strRef>
              <c:f>'Figure 2.7.'!$AC$6</c:f>
              <c:strCache>
                <c:ptCount val="1"/>
                <c:pt idx="0">
                  <c:v>Poorest</c:v>
                </c:pt>
              </c:strCache>
            </c:strRef>
          </c:tx>
          <c:spPr>
            <a:ln w="34925" cap="rnd">
              <a:solidFill>
                <a:srgbClr val="FF0000"/>
              </a:solidFill>
              <a:prstDash val="dashDot"/>
              <a:round/>
            </a:ln>
            <a:effectLst/>
          </c:spPr>
          <c:marker>
            <c:symbol val="circle"/>
            <c:size val="6"/>
            <c:spPr>
              <a:solidFill>
                <a:srgbClr val="FF0000"/>
              </a:solidFill>
              <a:ln w="15875">
                <a:solidFill>
                  <a:srgbClr val="FF0000"/>
                </a:solidFill>
              </a:ln>
              <a:effectLst/>
            </c:spPr>
          </c:marker>
          <c:cat>
            <c:strRef>
              <c:f>'Figure 2.7.'!$AB$19:$AB$23</c:f>
              <c:strCache>
                <c:ptCount val="5"/>
                <c:pt idx="0">
                  <c:v>&lt;36</c:v>
                </c:pt>
                <c:pt idx="1">
                  <c:v>36-45</c:v>
                </c:pt>
                <c:pt idx="2">
                  <c:v>46-55</c:v>
                </c:pt>
                <c:pt idx="3">
                  <c:v>56-65</c:v>
                </c:pt>
                <c:pt idx="4">
                  <c:v>&gt;65</c:v>
                </c:pt>
              </c:strCache>
            </c:strRef>
          </c:cat>
          <c:val>
            <c:numRef>
              <c:f>'Figure 2.7.'!$AC$19:$AC$23</c:f>
              <c:numCache>
                <c:formatCode>0.0</c:formatCode>
                <c:ptCount val="5"/>
                <c:pt idx="0">
                  <c:v>1.0129677857829602</c:v>
                </c:pt>
                <c:pt idx="1">
                  <c:v>1.6520926930994682</c:v>
                </c:pt>
                <c:pt idx="2">
                  <c:v>0.66388486414632908</c:v>
                </c:pt>
                <c:pt idx="3">
                  <c:v>-2.1291799746328439</c:v>
                </c:pt>
                <c:pt idx="4">
                  <c:v>-5.9090317835545223</c:v>
                </c:pt>
              </c:numCache>
            </c:numRef>
          </c:val>
          <c:smooth val="0"/>
          <c:extLst>
            <c:ext xmlns:c16="http://schemas.microsoft.com/office/drawing/2014/chart" uri="{C3380CC4-5D6E-409C-BE32-E72D297353CC}">
              <c16:uniqueId val="{00000000-16D8-4751-A029-4F4415534455}"/>
            </c:ext>
          </c:extLst>
        </c:ser>
        <c:ser>
          <c:idx val="1"/>
          <c:order val="1"/>
          <c:tx>
            <c:strRef>
              <c:f>'Figure 2.7.'!$AD$6</c:f>
              <c:strCache>
                <c:ptCount val="1"/>
                <c:pt idx="0">
                  <c:v>p20–p40</c:v>
                </c:pt>
              </c:strCache>
            </c:strRef>
          </c:tx>
          <c:spPr>
            <a:ln w="28575" cap="rnd">
              <a:solidFill>
                <a:srgbClr val="92D050"/>
              </a:solidFill>
              <a:prstDash val="dash"/>
              <a:round/>
            </a:ln>
            <a:effectLst/>
          </c:spPr>
          <c:marker>
            <c:symbol val="circle"/>
            <c:size val="5"/>
            <c:spPr>
              <a:solidFill>
                <a:srgbClr val="92D050"/>
              </a:solidFill>
              <a:ln w="9525">
                <a:noFill/>
                <a:prstDash val="sysDot"/>
              </a:ln>
              <a:effectLst/>
            </c:spPr>
          </c:marker>
          <c:cat>
            <c:strRef>
              <c:f>'Figure 2.7.'!$AB$19:$AB$23</c:f>
              <c:strCache>
                <c:ptCount val="5"/>
                <c:pt idx="0">
                  <c:v>&lt;36</c:v>
                </c:pt>
                <c:pt idx="1">
                  <c:v>36-45</c:v>
                </c:pt>
                <c:pt idx="2">
                  <c:v>46-55</c:v>
                </c:pt>
                <c:pt idx="3">
                  <c:v>56-65</c:v>
                </c:pt>
                <c:pt idx="4">
                  <c:v>&gt;65</c:v>
                </c:pt>
              </c:strCache>
            </c:strRef>
          </c:cat>
          <c:val>
            <c:numRef>
              <c:f>'Figure 2.7.'!$AD$19:$AD$23</c:f>
              <c:numCache>
                <c:formatCode>0.0</c:formatCode>
                <c:ptCount val="5"/>
                <c:pt idx="0">
                  <c:v>3.1444081814988207</c:v>
                </c:pt>
                <c:pt idx="1">
                  <c:v>2.7997745885526908</c:v>
                </c:pt>
                <c:pt idx="2">
                  <c:v>1.7329399840358615</c:v>
                </c:pt>
                <c:pt idx="3">
                  <c:v>-1.21420464631636</c:v>
                </c:pt>
                <c:pt idx="4">
                  <c:v>-5.0027068774943428</c:v>
                </c:pt>
              </c:numCache>
            </c:numRef>
          </c:val>
          <c:smooth val="0"/>
          <c:extLst>
            <c:ext xmlns:c16="http://schemas.microsoft.com/office/drawing/2014/chart" uri="{C3380CC4-5D6E-409C-BE32-E72D297353CC}">
              <c16:uniqueId val="{00000001-16D8-4751-A029-4F4415534455}"/>
            </c:ext>
          </c:extLst>
        </c:ser>
        <c:ser>
          <c:idx val="2"/>
          <c:order val="2"/>
          <c:tx>
            <c:strRef>
              <c:f>'Figure 2.7.'!$AE$6</c:f>
              <c:strCache>
                <c:ptCount val="1"/>
                <c:pt idx="0">
                  <c:v>p40–p60</c:v>
                </c:pt>
              </c:strCache>
            </c:strRef>
          </c:tx>
          <c:spPr>
            <a:ln w="28575" cap="rnd">
              <a:solidFill>
                <a:schemeClr val="accent5"/>
              </a:solidFill>
              <a:prstDash val="lgDashDotDot"/>
              <a:round/>
            </a:ln>
            <a:effectLst/>
          </c:spPr>
          <c:marker>
            <c:symbol val="circle"/>
            <c:size val="5"/>
            <c:spPr>
              <a:solidFill>
                <a:schemeClr val="accent5"/>
              </a:solidFill>
              <a:ln w="9525">
                <a:solidFill>
                  <a:schemeClr val="accent5"/>
                </a:solidFill>
              </a:ln>
              <a:effectLst/>
            </c:spPr>
          </c:marker>
          <c:cat>
            <c:strRef>
              <c:f>'Figure 2.7.'!$AB$19:$AB$23</c:f>
              <c:strCache>
                <c:ptCount val="5"/>
                <c:pt idx="0">
                  <c:v>&lt;36</c:v>
                </c:pt>
                <c:pt idx="1">
                  <c:v>36-45</c:v>
                </c:pt>
                <c:pt idx="2">
                  <c:v>46-55</c:v>
                </c:pt>
                <c:pt idx="3">
                  <c:v>56-65</c:v>
                </c:pt>
                <c:pt idx="4">
                  <c:v>&gt;65</c:v>
                </c:pt>
              </c:strCache>
            </c:strRef>
          </c:cat>
          <c:val>
            <c:numRef>
              <c:f>'Figure 2.7.'!$AE$19:$AE$23</c:f>
              <c:numCache>
                <c:formatCode>0.0</c:formatCode>
                <c:ptCount val="5"/>
                <c:pt idx="0">
                  <c:v>6.1432360854076169</c:v>
                </c:pt>
                <c:pt idx="1">
                  <c:v>4.5315929445578007</c:v>
                </c:pt>
                <c:pt idx="2">
                  <c:v>2.213941173711325</c:v>
                </c:pt>
                <c:pt idx="3">
                  <c:v>-1.5290072013455371</c:v>
                </c:pt>
                <c:pt idx="4">
                  <c:v>-4.889559831751491</c:v>
                </c:pt>
              </c:numCache>
            </c:numRef>
          </c:val>
          <c:smooth val="0"/>
          <c:extLst>
            <c:ext xmlns:c16="http://schemas.microsoft.com/office/drawing/2014/chart" uri="{C3380CC4-5D6E-409C-BE32-E72D297353CC}">
              <c16:uniqueId val="{00000002-16D8-4751-A029-4F4415534455}"/>
            </c:ext>
          </c:extLst>
        </c:ser>
        <c:ser>
          <c:idx val="3"/>
          <c:order val="3"/>
          <c:tx>
            <c:strRef>
              <c:f>'Figure 2.7.'!$AF$6</c:f>
              <c:strCache>
                <c:ptCount val="1"/>
                <c:pt idx="0">
                  <c:v>p60–p80 </c:v>
                </c:pt>
              </c:strCache>
            </c:strRef>
          </c:tx>
          <c:spPr>
            <a:ln w="28575" cap="rnd">
              <a:solidFill>
                <a:schemeClr val="accent4"/>
              </a:solidFill>
              <a:prstDash val="lgDash"/>
              <a:round/>
            </a:ln>
            <a:effectLst/>
          </c:spPr>
          <c:marker>
            <c:symbol val="circle"/>
            <c:size val="5"/>
            <c:spPr>
              <a:solidFill>
                <a:schemeClr val="accent4"/>
              </a:solidFill>
              <a:ln w="9525">
                <a:solidFill>
                  <a:schemeClr val="accent4"/>
                </a:solidFill>
                <a:prstDash val="dash"/>
              </a:ln>
              <a:effectLst/>
            </c:spPr>
          </c:marker>
          <c:cat>
            <c:strRef>
              <c:f>'Figure 2.7.'!$AB$19:$AB$23</c:f>
              <c:strCache>
                <c:ptCount val="5"/>
                <c:pt idx="0">
                  <c:v>&lt;36</c:v>
                </c:pt>
                <c:pt idx="1">
                  <c:v>36-45</c:v>
                </c:pt>
                <c:pt idx="2">
                  <c:v>46-55</c:v>
                </c:pt>
                <c:pt idx="3">
                  <c:v>56-65</c:v>
                </c:pt>
                <c:pt idx="4">
                  <c:v>&gt;65</c:v>
                </c:pt>
              </c:strCache>
            </c:strRef>
          </c:cat>
          <c:val>
            <c:numRef>
              <c:f>'Figure 2.7.'!$AF$19:$AF$23</c:f>
              <c:numCache>
                <c:formatCode>0.0</c:formatCode>
                <c:ptCount val="5"/>
                <c:pt idx="0">
                  <c:v>6.7715373092660753</c:v>
                </c:pt>
                <c:pt idx="1">
                  <c:v>5.7879073610438088</c:v>
                </c:pt>
                <c:pt idx="2">
                  <c:v>2.0587716293652067</c:v>
                </c:pt>
                <c:pt idx="3">
                  <c:v>-1.4223547879317815</c:v>
                </c:pt>
                <c:pt idx="4">
                  <c:v>-5.6089826000995497</c:v>
                </c:pt>
              </c:numCache>
            </c:numRef>
          </c:val>
          <c:smooth val="0"/>
          <c:extLst>
            <c:ext xmlns:c16="http://schemas.microsoft.com/office/drawing/2014/chart" uri="{C3380CC4-5D6E-409C-BE32-E72D297353CC}">
              <c16:uniqueId val="{00000003-16D8-4751-A029-4F4415534455}"/>
            </c:ext>
          </c:extLst>
        </c:ser>
        <c:ser>
          <c:idx val="4"/>
          <c:order val="4"/>
          <c:tx>
            <c:strRef>
              <c:f>'Figure 2.7.'!$AG$6</c:f>
              <c:strCache>
                <c:ptCount val="1"/>
                <c:pt idx="0">
                  <c:v>Richest</c:v>
                </c:pt>
              </c:strCache>
            </c:strRef>
          </c:tx>
          <c:spPr>
            <a:ln w="31750" cap="rnd">
              <a:solidFill>
                <a:schemeClr val="accent4">
                  <a:lumMod val="50000"/>
                </a:schemeClr>
              </a:solidFill>
              <a:round/>
            </a:ln>
            <a:effectLst/>
          </c:spPr>
          <c:marker>
            <c:symbol val="circle"/>
            <c:size val="6"/>
            <c:spPr>
              <a:solidFill>
                <a:schemeClr val="accent2">
                  <a:lumMod val="50000"/>
                </a:schemeClr>
              </a:solidFill>
              <a:ln w="9525">
                <a:solidFill>
                  <a:schemeClr val="accent4">
                    <a:lumMod val="50000"/>
                  </a:schemeClr>
                </a:solidFill>
              </a:ln>
              <a:effectLst/>
            </c:spPr>
          </c:marker>
          <c:cat>
            <c:strRef>
              <c:f>'Figure 2.7.'!$AB$19:$AB$23</c:f>
              <c:strCache>
                <c:ptCount val="5"/>
                <c:pt idx="0">
                  <c:v>&lt;36</c:v>
                </c:pt>
                <c:pt idx="1">
                  <c:v>36-45</c:v>
                </c:pt>
                <c:pt idx="2">
                  <c:v>46-55</c:v>
                </c:pt>
                <c:pt idx="3">
                  <c:v>56-65</c:v>
                </c:pt>
                <c:pt idx="4">
                  <c:v>&gt;65</c:v>
                </c:pt>
              </c:strCache>
            </c:strRef>
          </c:cat>
          <c:val>
            <c:numRef>
              <c:f>'Figure 2.7.'!$AG$19:$AG$23</c:f>
              <c:numCache>
                <c:formatCode>0.0</c:formatCode>
                <c:ptCount val="5"/>
                <c:pt idx="0">
                  <c:v>11.87971414957482</c:v>
                </c:pt>
                <c:pt idx="1">
                  <c:v>10.721364255064502</c:v>
                </c:pt>
                <c:pt idx="2">
                  <c:v>2.8402596278754042</c:v>
                </c:pt>
                <c:pt idx="3">
                  <c:v>-3.0852288080348913</c:v>
                </c:pt>
                <c:pt idx="4">
                  <c:v>-12.863408998459583</c:v>
                </c:pt>
              </c:numCache>
            </c:numRef>
          </c:val>
          <c:smooth val="0"/>
          <c:extLst>
            <c:ext xmlns:c16="http://schemas.microsoft.com/office/drawing/2014/chart" uri="{C3380CC4-5D6E-409C-BE32-E72D297353CC}">
              <c16:uniqueId val="{00000004-16D8-4751-A029-4F4415534455}"/>
            </c:ext>
          </c:extLst>
        </c:ser>
        <c:dLbls>
          <c:showLegendKey val="0"/>
          <c:showVal val="0"/>
          <c:showCatName val="0"/>
          <c:showSerName val="0"/>
          <c:showPercent val="0"/>
          <c:showBubbleSize val="0"/>
        </c:dLbls>
        <c:marker val="1"/>
        <c:smooth val="0"/>
        <c:axId val="1724947664"/>
        <c:axId val="1724958064"/>
      </c:lineChart>
      <c:catAx>
        <c:axId val="172494766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r>
                  <a:rPr lang="en-US" sz="2000" b="0" i="0" baseline="0">
                    <a:effectLst/>
                  </a:rPr>
                  <a:t>Age of the head of household</a:t>
                </a:r>
                <a:endParaRPr lang="en-US" sz="2000">
                  <a:effectLst/>
                </a:endParaRP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58064"/>
        <c:crosses val="autoZero"/>
        <c:auto val="1"/>
        <c:lblAlgn val="ctr"/>
        <c:lblOffset val="100"/>
        <c:noMultiLvlLbl val="0"/>
      </c:catAx>
      <c:valAx>
        <c:axId val="1724958064"/>
        <c:scaling>
          <c:orientation val="minMax"/>
          <c:max val="12"/>
          <c:min val="-21"/>
        </c:scaling>
        <c:delete val="0"/>
        <c:axPos val="l"/>
        <c:numFmt formatCode="#,##0" sourceLinked="0"/>
        <c:majorTickMark val="in"/>
        <c:minorTickMark val="none"/>
        <c:tickLblPos val="nextTo"/>
        <c:spPr>
          <a:noFill/>
          <a:ln w="12700">
            <a:solidFill>
              <a:schemeClr val="tx1"/>
            </a:solid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24947664"/>
        <c:crosses val="autoZero"/>
        <c:crossBetween val="between"/>
        <c:majorUnit val="3"/>
      </c:valAx>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9754859892252"/>
          <c:y val="6.3572758765264151E-2"/>
          <c:w val="0.84590621724154069"/>
          <c:h val="0.84453854457530297"/>
        </c:manualLayout>
      </c:layout>
      <c:barChart>
        <c:barDir val="col"/>
        <c:grouping val="clustered"/>
        <c:varyColors val="0"/>
        <c:ser>
          <c:idx val="0"/>
          <c:order val="0"/>
          <c:tx>
            <c:strRef>
              <c:f>'Figure 2.8.'!$V$5</c:f>
              <c:strCache>
                <c:ptCount val="1"/>
                <c:pt idx="0">
                  <c:v>Baseline inflation </c:v>
                </c:pt>
              </c:strCache>
            </c:strRef>
          </c:tx>
          <c:spPr>
            <a:solidFill>
              <a:srgbClr val="002060"/>
            </a:solidFill>
            <a:ln>
              <a:noFill/>
            </a:ln>
            <a:effectLst/>
          </c:spPr>
          <c:invertIfNegative val="0"/>
          <c:cat>
            <c:strRef>
              <c:f>'Figure 2.8.'!$U$6:$U$11</c:f>
              <c:strCache>
                <c:ptCount val="6"/>
                <c:pt idx="0">
                  <c:v>Colombia</c:v>
                </c:pt>
                <c:pt idx="1">
                  <c:v>Finland</c:v>
                </c:pt>
                <c:pt idx="2">
                  <c:v>France</c:v>
                </c:pt>
                <c:pt idx="3">
                  <c:v>Kenya</c:v>
                </c:pt>
                <c:pt idx="4">
                  <c:v>Mexico</c:v>
                </c:pt>
                <c:pt idx="5">
                  <c:v>Senegal</c:v>
                </c:pt>
              </c:strCache>
            </c:strRef>
          </c:cat>
          <c:val>
            <c:numRef>
              <c:f>'Figure 2.8.'!$V$6:$V$11</c:f>
              <c:numCache>
                <c:formatCode>0.0</c:formatCode>
                <c:ptCount val="6"/>
                <c:pt idx="0">
                  <c:v>0.15860646963119507</c:v>
                </c:pt>
                <c:pt idx="1">
                  <c:v>0.64565800130367279</c:v>
                </c:pt>
                <c:pt idx="2">
                  <c:v>0.98785683512687683</c:v>
                </c:pt>
                <c:pt idx="3">
                  <c:v>0.50006508827209473</c:v>
                </c:pt>
                <c:pt idx="4">
                  <c:v>0.99699199199676514</c:v>
                </c:pt>
                <c:pt idx="5">
                  <c:v>1.074826717376709</c:v>
                </c:pt>
              </c:numCache>
            </c:numRef>
          </c:val>
          <c:extLst>
            <c:ext xmlns:c16="http://schemas.microsoft.com/office/drawing/2014/chart" uri="{C3380CC4-5D6E-409C-BE32-E72D297353CC}">
              <c16:uniqueId val="{00000000-2769-4939-BDFC-ED012C912B03}"/>
            </c:ext>
          </c:extLst>
        </c:ser>
        <c:ser>
          <c:idx val="1"/>
          <c:order val="1"/>
          <c:tx>
            <c:strRef>
              <c:f>'Figure 2.8.'!$W$5</c:f>
              <c:strCache>
                <c:ptCount val="1"/>
                <c:pt idx="0">
                  <c:v>Average inflation </c:v>
                </c:pt>
              </c:strCache>
            </c:strRef>
          </c:tx>
          <c:spPr>
            <a:solidFill>
              <a:srgbClr val="FFBDBD"/>
            </a:solidFill>
            <a:ln>
              <a:noFill/>
            </a:ln>
            <a:effectLst/>
          </c:spPr>
          <c:invertIfNegative val="0"/>
          <c:cat>
            <c:strRef>
              <c:f>'Figure 2.8.'!$U$6:$U$11</c:f>
              <c:strCache>
                <c:ptCount val="6"/>
                <c:pt idx="0">
                  <c:v>Colombia</c:v>
                </c:pt>
                <c:pt idx="1">
                  <c:v>Finland</c:v>
                </c:pt>
                <c:pt idx="2">
                  <c:v>France</c:v>
                </c:pt>
                <c:pt idx="3">
                  <c:v>Kenya</c:v>
                </c:pt>
                <c:pt idx="4">
                  <c:v>Mexico</c:v>
                </c:pt>
                <c:pt idx="5">
                  <c:v>Senegal</c:v>
                </c:pt>
              </c:strCache>
            </c:strRef>
          </c:cat>
          <c:val>
            <c:numRef>
              <c:f>'Figure 2.8.'!$W$6:$W$11</c:f>
              <c:numCache>
                <c:formatCode>0.0</c:formatCode>
                <c:ptCount val="6"/>
                <c:pt idx="0">
                  <c:v>-0.17434358596801758</c:v>
                </c:pt>
                <c:pt idx="1">
                  <c:v>0.64160246402025223</c:v>
                </c:pt>
                <c:pt idx="2">
                  <c:v>0.85383988916873932</c:v>
                </c:pt>
                <c:pt idx="3">
                  <c:v>0.58097243309020996</c:v>
                </c:pt>
                <c:pt idx="4">
                  <c:v>0.61705112457275391</c:v>
                </c:pt>
                <c:pt idx="5">
                  <c:v>1.1655330657958984</c:v>
                </c:pt>
              </c:numCache>
            </c:numRef>
          </c:val>
          <c:extLst>
            <c:ext xmlns:c16="http://schemas.microsoft.com/office/drawing/2014/chart" uri="{C3380CC4-5D6E-409C-BE32-E72D297353CC}">
              <c16:uniqueId val="{00000001-2769-4939-BDFC-ED012C912B03}"/>
            </c:ext>
          </c:extLst>
        </c:ser>
        <c:ser>
          <c:idx val="2"/>
          <c:order val="2"/>
          <c:tx>
            <c:strRef>
              <c:f>'Figure 2.8.'!$X$5</c:f>
              <c:strCache>
                <c:ptCount val="1"/>
                <c:pt idx="0">
                  <c:v>5 percent higher food prices</c:v>
                </c:pt>
              </c:strCache>
            </c:strRef>
          </c:tx>
          <c:spPr>
            <a:solidFill>
              <a:srgbClr val="C00000"/>
            </a:solidFill>
            <a:ln>
              <a:noFill/>
            </a:ln>
            <a:effectLst/>
          </c:spPr>
          <c:invertIfNegative val="0"/>
          <c:cat>
            <c:strRef>
              <c:f>'Figure 2.8.'!$U$6:$U$11</c:f>
              <c:strCache>
                <c:ptCount val="6"/>
                <c:pt idx="0">
                  <c:v>Colombia</c:v>
                </c:pt>
                <c:pt idx="1">
                  <c:v>Finland</c:v>
                </c:pt>
                <c:pt idx="2">
                  <c:v>France</c:v>
                </c:pt>
                <c:pt idx="3">
                  <c:v>Kenya</c:v>
                </c:pt>
                <c:pt idx="4">
                  <c:v>Mexico</c:v>
                </c:pt>
                <c:pt idx="5">
                  <c:v>Senegal</c:v>
                </c:pt>
              </c:strCache>
            </c:strRef>
          </c:cat>
          <c:val>
            <c:numRef>
              <c:f>'Figure 2.8.'!$X$6:$X$11</c:f>
              <c:numCache>
                <c:formatCode>0.0</c:formatCode>
                <c:ptCount val="6"/>
                <c:pt idx="0">
                  <c:v>0.58846771717071533</c:v>
                </c:pt>
                <c:pt idx="1">
                  <c:v>0.75150560587644577</c:v>
                </c:pt>
                <c:pt idx="2">
                  <c:v>1.0932125151157379</c:v>
                </c:pt>
                <c:pt idx="3">
                  <c:v>0.86442828178405762</c:v>
                </c:pt>
                <c:pt idx="4">
                  <c:v>1.8096297979354858</c:v>
                </c:pt>
                <c:pt idx="5">
                  <c:v>1.4854907989501953</c:v>
                </c:pt>
              </c:numCache>
            </c:numRef>
          </c:val>
          <c:extLst>
            <c:ext xmlns:c16="http://schemas.microsoft.com/office/drawing/2014/chart" uri="{C3380CC4-5D6E-409C-BE32-E72D297353CC}">
              <c16:uniqueId val="{00000002-2769-4939-BDFC-ED012C912B03}"/>
            </c:ext>
          </c:extLst>
        </c:ser>
        <c:ser>
          <c:idx val="3"/>
          <c:order val="3"/>
          <c:tx>
            <c:strRef>
              <c:f>'Figure 2.8.'!$Y$5</c:f>
              <c:strCache>
                <c:ptCount val="1"/>
                <c:pt idx="0">
                  <c:v>5 percent higher fuel prices</c:v>
                </c:pt>
              </c:strCache>
            </c:strRef>
          </c:tx>
          <c:spPr>
            <a:solidFill>
              <a:srgbClr val="33CC33"/>
            </a:solidFill>
            <a:ln>
              <a:solidFill>
                <a:srgbClr val="33CC33"/>
              </a:solidFill>
            </a:ln>
            <a:effectLst/>
          </c:spPr>
          <c:invertIfNegative val="0"/>
          <c:cat>
            <c:strRef>
              <c:f>'Figure 2.8.'!$U$6:$U$11</c:f>
              <c:strCache>
                <c:ptCount val="6"/>
                <c:pt idx="0">
                  <c:v>Colombia</c:v>
                </c:pt>
                <c:pt idx="1">
                  <c:v>Finland</c:v>
                </c:pt>
                <c:pt idx="2">
                  <c:v>France</c:v>
                </c:pt>
                <c:pt idx="3">
                  <c:v>Kenya</c:v>
                </c:pt>
                <c:pt idx="4">
                  <c:v>Mexico</c:v>
                </c:pt>
                <c:pt idx="5">
                  <c:v>Senegal</c:v>
                </c:pt>
              </c:strCache>
            </c:strRef>
          </c:cat>
          <c:val>
            <c:numRef>
              <c:f>'Figure 2.8.'!$Y$6:$Y$11</c:f>
              <c:numCache>
                <c:formatCode>0.0</c:formatCode>
                <c:ptCount val="6"/>
                <c:pt idx="0">
                  <c:v>0.76090693473815918</c:v>
                </c:pt>
                <c:pt idx="1">
                  <c:v>0.81938803195953369</c:v>
                </c:pt>
                <c:pt idx="2">
                  <c:v>1.2141551822423935</c:v>
                </c:pt>
                <c:pt idx="3">
                  <c:v>0.80938823521137238</c:v>
                </c:pt>
                <c:pt idx="4">
                  <c:v>1.5138238668441772</c:v>
                </c:pt>
                <c:pt idx="5">
                  <c:v>1.2385904788970947</c:v>
                </c:pt>
              </c:numCache>
            </c:numRef>
          </c:val>
          <c:extLst>
            <c:ext xmlns:c16="http://schemas.microsoft.com/office/drawing/2014/chart" uri="{C3380CC4-5D6E-409C-BE32-E72D297353CC}">
              <c16:uniqueId val="{00000003-2769-4939-BDFC-ED012C912B03}"/>
            </c:ext>
          </c:extLst>
        </c:ser>
        <c:dLbls>
          <c:showLegendKey val="0"/>
          <c:showVal val="0"/>
          <c:showCatName val="0"/>
          <c:showSerName val="0"/>
          <c:showPercent val="0"/>
          <c:showBubbleSize val="0"/>
        </c:dLbls>
        <c:gapWidth val="100"/>
        <c:overlap val="-10"/>
        <c:axId val="1852926704"/>
        <c:axId val="1852927120"/>
        <c:extLst/>
      </c:barChart>
      <c:catAx>
        <c:axId val="18529267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52927120"/>
        <c:crosses val="autoZero"/>
        <c:auto val="1"/>
        <c:lblAlgn val="ctr"/>
        <c:lblOffset val="100"/>
        <c:noMultiLvlLbl val="0"/>
      </c:catAx>
      <c:valAx>
        <c:axId val="1852927120"/>
        <c:scaling>
          <c:orientation val="minMax"/>
          <c:min val="-0.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52926704"/>
        <c:crosses val="autoZero"/>
        <c:crossBetween val="between"/>
        <c:majorUnit val="0.2"/>
      </c:valAx>
      <c:spPr>
        <a:noFill/>
        <a:ln w="6350">
          <a:noFill/>
        </a:ln>
        <a:effectLst/>
      </c:spPr>
    </c:plotArea>
    <c:legend>
      <c:legendPos val="r"/>
      <c:layout>
        <c:manualLayout>
          <c:xMode val="edge"/>
          <c:yMode val="edge"/>
          <c:x val="0.20203706191252718"/>
          <c:y val="3.7848227971577393E-2"/>
          <c:w val="0.49836231018347599"/>
          <c:h val="0.2421243658507294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07358850312045"/>
          <c:y val="0.12541462069968284"/>
          <c:w val="0.70025885112240205"/>
          <c:h val="0.64497000450484177"/>
        </c:manualLayout>
      </c:layout>
      <c:areaChart>
        <c:grouping val="standard"/>
        <c:varyColors val="0"/>
        <c:ser>
          <c:idx val="1"/>
          <c:order val="4"/>
          <c:tx>
            <c:strRef>
              <c:f>'Figure 2.9.'!$Q$19</c:f>
              <c:strCache>
                <c:ptCount val="1"/>
                <c:pt idx="0">
                  <c:v>1986_2019_band_upper</c:v>
                </c:pt>
              </c:strCache>
            </c:strRef>
          </c:tx>
          <c:spPr>
            <a:solidFill>
              <a:schemeClr val="accent1">
                <a:lumMod val="60000"/>
                <a:lumOff val="40000"/>
              </a:schemeClr>
            </a:solidFill>
            <a:ln w="25400">
              <a:noFill/>
            </a:ln>
            <a:effectLst/>
          </c:spPr>
          <c:val>
            <c:numRef>
              <c:f>'Figure 2.9.'!$Q$20:$Q$31</c:f>
              <c:numCache>
                <c:formatCode>0.0</c:formatCode>
                <c:ptCount val="12"/>
                <c:pt idx="0">
                  <c:v>0.60583015923575778</c:v>
                </c:pt>
                <c:pt idx="1">
                  <c:v>0.34735085370523999</c:v>
                </c:pt>
                <c:pt idx="2">
                  <c:v>0.17421874245336777</c:v>
                </c:pt>
                <c:pt idx="3">
                  <c:v>9.1329043352243899E-2</c:v>
                </c:pt>
                <c:pt idx="4">
                  <c:v>5.1701202430981814E-2</c:v>
                </c:pt>
                <c:pt idx="5">
                  <c:v>3.2632717167679674E-2</c:v>
                </c:pt>
                <c:pt idx="6">
                  <c:v>2.1317018366052782E-2</c:v>
                </c:pt>
                <c:pt idx="7">
                  <c:v>1.5891629400437795E-2</c:v>
                </c:pt>
                <c:pt idx="8">
                  <c:v>1.2614644593108442E-2</c:v>
                </c:pt>
                <c:pt idx="9">
                  <c:v>1.059487251668113E-2</c:v>
                </c:pt>
                <c:pt idx="10">
                  <c:v>8.570137818246509E-3</c:v>
                </c:pt>
                <c:pt idx="11">
                  <c:v>7.9901902378725249E-3</c:v>
                </c:pt>
              </c:numCache>
            </c:numRef>
          </c:val>
          <c:extLst>
            <c:ext xmlns:c16="http://schemas.microsoft.com/office/drawing/2014/chart" uri="{C3380CC4-5D6E-409C-BE32-E72D297353CC}">
              <c16:uniqueId val="{00000000-2B1D-485F-AAF4-63F9CA022C15}"/>
            </c:ext>
          </c:extLst>
        </c:ser>
        <c:ser>
          <c:idx val="2"/>
          <c:order val="5"/>
          <c:tx>
            <c:strRef>
              <c:f>'Figure 2.9.'!$R$19</c:f>
              <c:strCache>
                <c:ptCount val="1"/>
                <c:pt idx="0">
                  <c:v>1986_2019_band_lower</c:v>
                </c:pt>
              </c:strCache>
            </c:strRef>
          </c:tx>
          <c:spPr>
            <a:gradFill>
              <a:gsLst>
                <a:gs pos="84000">
                  <a:schemeClr val="bg1"/>
                </a:gs>
                <a:gs pos="86000">
                  <a:schemeClr val="accent1">
                    <a:lumMod val="60000"/>
                    <a:lumOff val="40000"/>
                  </a:schemeClr>
                </a:gs>
              </a:gsLst>
              <a:lin ang="5400000" scaled="1"/>
            </a:gradFill>
            <a:ln w="25400">
              <a:noFill/>
            </a:ln>
            <a:effectLst/>
          </c:spPr>
          <c:val>
            <c:numRef>
              <c:f>'Figure 2.9.'!$R$20:$R$31</c:f>
              <c:numCache>
                <c:formatCode>0.0</c:formatCode>
                <c:ptCount val="12"/>
                <c:pt idx="0">
                  <c:v>0.3172625658173025</c:v>
                </c:pt>
                <c:pt idx="1">
                  <c:v>0.17690979793305961</c:v>
                </c:pt>
                <c:pt idx="2">
                  <c:v>5.4038779234198885E-2</c:v>
                </c:pt>
                <c:pt idx="3">
                  <c:v>-1.0505237957843345E-2</c:v>
                </c:pt>
                <c:pt idx="4">
                  <c:v>-3.5998750790554958E-2</c:v>
                </c:pt>
                <c:pt idx="5">
                  <c:v>-4.5222991125648544E-2</c:v>
                </c:pt>
                <c:pt idx="6">
                  <c:v>-4.7752164792601089E-2</c:v>
                </c:pt>
                <c:pt idx="7">
                  <c:v>-4.5937021783304464E-2</c:v>
                </c:pt>
                <c:pt idx="8">
                  <c:v>-4.2497811714695882E-2</c:v>
                </c:pt>
                <c:pt idx="9">
                  <c:v>-3.898202035464339E-2</c:v>
                </c:pt>
                <c:pt idx="10">
                  <c:v>-3.6280984795780305E-2</c:v>
                </c:pt>
                <c:pt idx="11">
                  <c:v>-3.3355965461338538E-2</c:v>
                </c:pt>
              </c:numCache>
            </c:numRef>
          </c:val>
          <c:extLst>
            <c:ext xmlns:c16="http://schemas.microsoft.com/office/drawing/2014/chart" uri="{C3380CC4-5D6E-409C-BE32-E72D297353CC}">
              <c16:uniqueId val="{00000001-2B1D-485F-AAF4-63F9CA022C15}"/>
            </c:ext>
          </c:extLst>
        </c:ser>
        <c:dLbls>
          <c:showLegendKey val="0"/>
          <c:showVal val="0"/>
          <c:showCatName val="0"/>
          <c:showSerName val="0"/>
          <c:showPercent val="0"/>
          <c:showBubbleSize val="0"/>
        </c:dLbls>
        <c:axId val="1401688559"/>
        <c:axId val="1401671919"/>
      </c:areaChart>
      <c:lineChart>
        <c:grouping val="standard"/>
        <c:varyColors val="0"/>
        <c:ser>
          <c:idx val="3"/>
          <c:order val="0"/>
          <c:tx>
            <c:strRef>
              <c:f>'Figure 2.9.'!$S$19</c:f>
              <c:strCache>
                <c:ptCount val="1"/>
                <c:pt idx="0">
                  <c:v>1950–1985</c:v>
                </c:pt>
              </c:strCache>
            </c:strRef>
          </c:tx>
          <c:spPr>
            <a:ln w="28575" cap="rnd">
              <a:solidFill>
                <a:srgbClr val="C00000"/>
              </a:solidFill>
              <a:prstDash val="lgDash"/>
              <a:round/>
            </a:ln>
            <a:effectLst/>
          </c:spPr>
          <c:marker>
            <c:symbol val="none"/>
          </c:marker>
          <c:cat>
            <c:numRef>
              <c:f>'Figure 2.9.'!$O$20:$O$31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2.9.'!$S$20:$S$31</c:f>
              <c:numCache>
                <c:formatCode>0.0</c:formatCode>
                <c:ptCount val="12"/>
                <c:pt idx="0">
                  <c:v>0.89913754073733865</c:v>
                </c:pt>
                <c:pt idx="1">
                  <c:v>0.6671387063972477</c:v>
                </c:pt>
                <c:pt idx="2">
                  <c:v>0.43726960417743671</c:v>
                </c:pt>
                <c:pt idx="3">
                  <c:v>0.28277543078860601</c:v>
                </c:pt>
                <c:pt idx="4">
                  <c:v>0.18649509846095264</c:v>
                </c:pt>
                <c:pt idx="5">
                  <c:v>0.12348793379616728</c:v>
                </c:pt>
                <c:pt idx="6">
                  <c:v>8.4243062990757872E-2</c:v>
                </c:pt>
                <c:pt idx="7">
                  <c:v>5.903349958233757E-2</c:v>
                </c:pt>
                <c:pt idx="8">
                  <c:v>4.3043233620444703E-2</c:v>
                </c:pt>
                <c:pt idx="9">
                  <c:v>3.1724667510807485E-2</c:v>
                </c:pt>
                <c:pt idx="10">
                  <c:v>2.5474948956043148E-2</c:v>
                </c:pt>
                <c:pt idx="11">
                  <c:v>2.1048669766869029E-2</c:v>
                </c:pt>
              </c:numCache>
            </c:numRef>
          </c:val>
          <c:smooth val="0"/>
          <c:extLst>
            <c:ext xmlns:c16="http://schemas.microsoft.com/office/drawing/2014/chart" uri="{C3380CC4-5D6E-409C-BE32-E72D297353CC}">
              <c16:uniqueId val="{00000002-2B1D-485F-AAF4-63F9CA022C15}"/>
            </c:ext>
          </c:extLst>
        </c:ser>
        <c:ser>
          <c:idx val="4"/>
          <c:order val="1"/>
          <c:tx>
            <c:strRef>
              <c:f>'Figure 2.9.'!$T$19</c:f>
              <c:strCache>
                <c:ptCount val="1"/>
                <c:pt idx="0">
                  <c:v>1950_1985_band_upper</c:v>
                </c:pt>
              </c:strCache>
            </c:strRef>
          </c:tx>
          <c:spPr>
            <a:ln w="22225" cap="rnd">
              <a:solidFill>
                <a:srgbClr val="C00000"/>
              </a:solidFill>
              <a:prstDash val="sysDash"/>
              <a:round/>
            </a:ln>
            <a:effectLst/>
          </c:spPr>
          <c:marker>
            <c:symbol val="none"/>
          </c:marker>
          <c:cat>
            <c:numRef>
              <c:f>'Figure 2.9.'!$O$20:$O$31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2.9.'!$T$20:$T$31</c:f>
              <c:numCache>
                <c:formatCode>0.0</c:formatCode>
                <c:ptCount val="12"/>
                <c:pt idx="0">
                  <c:v>1.2166613049890644</c:v>
                </c:pt>
                <c:pt idx="1">
                  <c:v>0.8983488900178227</c:v>
                </c:pt>
                <c:pt idx="2">
                  <c:v>0.59798455180919974</c:v>
                </c:pt>
                <c:pt idx="3">
                  <c:v>0.40858595674927289</c:v>
                </c:pt>
                <c:pt idx="4">
                  <c:v>0.28706159114708513</c:v>
                </c:pt>
                <c:pt idx="5">
                  <c:v>0.21271278600767257</c:v>
                </c:pt>
                <c:pt idx="6">
                  <c:v>0.1695357336053403</c:v>
                </c:pt>
                <c:pt idx="7">
                  <c:v>0.13857105226305333</c:v>
                </c:pt>
                <c:pt idx="8">
                  <c:v>0.1179217163408479</c:v>
                </c:pt>
                <c:pt idx="9">
                  <c:v>0.10310749665196346</c:v>
                </c:pt>
                <c:pt idx="10">
                  <c:v>9.2071533386373111E-2</c:v>
                </c:pt>
                <c:pt idx="11">
                  <c:v>8.425460251520353E-2</c:v>
                </c:pt>
              </c:numCache>
            </c:numRef>
          </c:val>
          <c:smooth val="0"/>
          <c:extLst>
            <c:ext xmlns:c16="http://schemas.microsoft.com/office/drawing/2014/chart" uri="{C3380CC4-5D6E-409C-BE32-E72D297353CC}">
              <c16:uniqueId val="{00000003-2B1D-485F-AAF4-63F9CA022C15}"/>
            </c:ext>
          </c:extLst>
        </c:ser>
        <c:ser>
          <c:idx val="5"/>
          <c:order val="2"/>
          <c:tx>
            <c:strRef>
              <c:f>'Figure 2.9.'!$U$19</c:f>
              <c:strCache>
                <c:ptCount val="1"/>
                <c:pt idx="0">
                  <c:v>1950_1985_band_lower</c:v>
                </c:pt>
              </c:strCache>
            </c:strRef>
          </c:tx>
          <c:spPr>
            <a:ln w="22225" cap="rnd">
              <a:solidFill>
                <a:srgbClr val="C00000"/>
              </a:solidFill>
              <a:prstDash val="sysDash"/>
              <a:round/>
            </a:ln>
            <a:effectLst/>
          </c:spPr>
          <c:marker>
            <c:symbol val="none"/>
          </c:marker>
          <c:cat>
            <c:numRef>
              <c:f>'Figure 2.9.'!$O$20:$O$31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2.9.'!$U$20:$U$31</c:f>
              <c:numCache>
                <c:formatCode>0.0</c:formatCode>
                <c:ptCount val="12"/>
                <c:pt idx="0">
                  <c:v>0.57972849216380296</c:v>
                </c:pt>
                <c:pt idx="1">
                  <c:v>0.43959654052609765</c:v>
                </c:pt>
                <c:pt idx="2">
                  <c:v>0.28825886581620608</c:v>
                </c:pt>
                <c:pt idx="3">
                  <c:v>0.16975504548496206</c:v>
                </c:pt>
                <c:pt idx="4">
                  <c:v>8.6298387156131459E-2</c:v>
                </c:pt>
                <c:pt idx="5">
                  <c:v>2.9487404208323607E-2</c:v>
                </c:pt>
                <c:pt idx="6">
                  <c:v>-4.6399072765424994E-3</c:v>
                </c:pt>
                <c:pt idx="7">
                  <c:v>-3.0520958698900702E-2</c:v>
                </c:pt>
                <c:pt idx="8">
                  <c:v>-4.155936023524049E-2</c:v>
                </c:pt>
                <c:pt idx="9">
                  <c:v>-4.5385832060253213E-2</c:v>
                </c:pt>
                <c:pt idx="10">
                  <c:v>-4.7542296068676618E-2</c:v>
                </c:pt>
                <c:pt idx="11">
                  <c:v>-4.7282005300484931E-2</c:v>
                </c:pt>
              </c:numCache>
            </c:numRef>
          </c:val>
          <c:smooth val="0"/>
          <c:extLst>
            <c:ext xmlns:c16="http://schemas.microsoft.com/office/drawing/2014/chart" uri="{C3380CC4-5D6E-409C-BE32-E72D297353CC}">
              <c16:uniqueId val="{00000004-2B1D-485F-AAF4-63F9CA022C15}"/>
            </c:ext>
          </c:extLst>
        </c:ser>
        <c:ser>
          <c:idx val="0"/>
          <c:order val="3"/>
          <c:tx>
            <c:strRef>
              <c:f>'Figure 2.9.'!$P$19</c:f>
              <c:strCache>
                <c:ptCount val="1"/>
                <c:pt idx="0">
                  <c:v>1986–2019</c:v>
                </c:pt>
              </c:strCache>
            </c:strRef>
          </c:tx>
          <c:spPr>
            <a:ln w="28575" cap="rnd">
              <a:solidFill>
                <a:srgbClr val="0000CC"/>
              </a:solidFill>
              <a:round/>
            </a:ln>
            <a:effectLst/>
          </c:spPr>
          <c:marker>
            <c:symbol val="none"/>
          </c:marker>
          <c:cat>
            <c:numRef>
              <c:f>'Figure 2.9.'!$O$20:$O$31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2.9.'!$P$20:$P$31</c:f>
              <c:numCache>
                <c:formatCode>0.0</c:formatCode>
                <c:ptCount val="12"/>
                <c:pt idx="0">
                  <c:v>0.46313647070501246</c:v>
                </c:pt>
                <c:pt idx="1">
                  <c:v>0.25879608749091204</c:v>
                </c:pt>
                <c:pt idx="2">
                  <c:v>0.11162351440363649</c:v>
                </c:pt>
                <c:pt idx="3">
                  <c:v>3.7397197510079284E-2</c:v>
                </c:pt>
                <c:pt idx="4">
                  <c:v>4.7537537709503195E-3</c:v>
                </c:pt>
                <c:pt idx="5">
                  <c:v>-8.9149912052391145E-3</c:v>
                </c:pt>
                <c:pt idx="6">
                  <c:v>-1.4715845983067894E-2</c:v>
                </c:pt>
                <c:pt idx="7">
                  <c:v>-1.5915101061237509E-2</c:v>
                </c:pt>
                <c:pt idx="8">
                  <c:v>-1.5704975665959076E-2</c:v>
                </c:pt>
                <c:pt idx="9">
                  <c:v>-1.4987180504696209E-2</c:v>
                </c:pt>
                <c:pt idx="10">
                  <c:v>-1.4119062796548522E-2</c:v>
                </c:pt>
                <c:pt idx="11">
                  <c:v>-1.3165090826535039E-2</c:v>
                </c:pt>
              </c:numCache>
            </c:numRef>
          </c:val>
          <c:smooth val="0"/>
          <c:extLst>
            <c:ext xmlns:c16="http://schemas.microsoft.com/office/drawing/2014/chart" uri="{C3380CC4-5D6E-409C-BE32-E72D297353CC}">
              <c16:uniqueId val="{00000005-2B1D-485F-AAF4-63F9CA022C15}"/>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Years</a:t>
                </a:r>
              </a:p>
            </c:rich>
          </c:tx>
          <c:layout>
            <c:manualLayout>
              <c:xMode val="edge"/>
              <c:yMode val="edge"/>
              <c:x val="0.511827752221237"/>
              <c:y val="0.881851241639963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in val="-0.5"/>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Percentage points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85040799603"/>
          <c:y val="0.13080316393233607"/>
          <c:w val="0.72288535751668948"/>
          <c:h val="0.64497000450484177"/>
        </c:manualLayout>
      </c:layout>
      <c:areaChart>
        <c:grouping val="standard"/>
        <c:varyColors val="0"/>
        <c:ser>
          <c:idx val="1"/>
          <c:order val="4"/>
          <c:tx>
            <c:strRef>
              <c:f>'Figure 2.9.'!$Q$4</c:f>
              <c:strCache>
                <c:ptCount val="1"/>
                <c:pt idx="0">
                  <c:v>1986_2019_band_upper</c:v>
                </c:pt>
              </c:strCache>
            </c:strRef>
          </c:tx>
          <c:spPr>
            <a:solidFill>
              <a:schemeClr val="accent1">
                <a:lumMod val="60000"/>
                <a:lumOff val="40000"/>
              </a:schemeClr>
            </a:solidFill>
            <a:ln w="25400">
              <a:noFill/>
            </a:ln>
            <a:effectLst/>
          </c:spPr>
          <c:val>
            <c:numRef>
              <c:f>'Figure 2.9.'!$Q$5:$Q$16</c:f>
              <c:numCache>
                <c:formatCode>0.0</c:formatCode>
                <c:ptCount val="12"/>
                <c:pt idx="0">
                  <c:v>1.3310040049255119</c:v>
                </c:pt>
                <c:pt idx="1">
                  <c:v>1.0834107372933366</c:v>
                </c:pt>
                <c:pt idx="2">
                  <c:v>0.87196789182775414</c:v>
                </c:pt>
                <c:pt idx="3">
                  <c:v>0.75698302871468048</c:v>
                </c:pt>
                <c:pt idx="4">
                  <c:v>0.69514124178606351</c:v>
                </c:pt>
                <c:pt idx="5">
                  <c:v>0.65118310954019232</c:v>
                </c:pt>
                <c:pt idx="6">
                  <c:v>0.61632229288000673</c:v>
                </c:pt>
                <c:pt idx="7">
                  <c:v>0.59105730753237617</c:v>
                </c:pt>
                <c:pt idx="8">
                  <c:v>0.56740803237229209</c:v>
                </c:pt>
                <c:pt idx="9">
                  <c:v>0.54769215917103975</c:v>
                </c:pt>
                <c:pt idx="10">
                  <c:v>0.52701985832830578</c:v>
                </c:pt>
                <c:pt idx="11">
                  <c:v>0.51050400526854978</c:v>
                </c:pt>
              </c:numCache>
            </c:numRef>
          </c:val>
          <c:extLst>
            <c:ext xmlns:c16="http://schemas.microsoft.com/office/drawing/2014/chart" uri="{C3380CC4-5D6E-409C-BE32-E72D297353CC}">
              <c16:uniqueId val="{00000000-9E42-4359-9DC6-C24B98E72D57}"/>
            </c:ext>
          </c:extLst>
        </c:ser>
        <c:ser>
          <c:idx val="2"/>
          <c:order val="5"/>
          <c:tx>
            <c:strRef>
              <c:f>'Figure 2.9.'!$R$4</c:f>
              <c:strCache>
                <c:ptCount val="1"/>
                <c:pt idx="0">
                  <c:v>1986_2019_band_lower</c:v>
                </c:pt>
              </c:strCache>
            </c:strRef>
          </c:tx>
          <c:spPr>
            <a:gradFill>
              <a:gsLst>
                <a:gs pos="84000">
                  <a:schemeClr val="bg1"/>
                </a:gs>
                <a:gs pos="86000">
                  <a:schemeClr val="accent1">
                    <a:lumMod val="60000"/>
                    <a:lumOff val="40000"/>
                  </a:schemeClr>
                </a:gs>
              </a:gsLst>
              <a:lin ang="5400000" scaled="1"/>
            </a:gradFill>
            <a:ln w="25400">
              <a:noFill/>
            </a:ln>
            <a:effectLst/>
          </c:spPr>
          <c:val>
            <c:numRef>
              <c:f>'Figure 2.9.'!$R$5:$R$16</c:f>
              <c:numCache>
                <c:formatCode>0.0</c:formatCode>
                <c:ptCount val="12"/>
                <c:pt idx="0">
                  <c:v>0.61030323231646855</c:v>
                </c:pt>
                <c:pt idx="1">
                  <c:v>0.35433520700031829</c:v>
                </c:pt>
                <c:pt idx="2">
                  <c:v>0.14360565618074517</c:v>
                </c:pt>
                <c:pt idx="3">
                  <c:v>3.8202561950786577E-2</c:v>
                </c:pt>
                <c:pt idx="4">
                  <c:v>-2.1263333490743264E-2</c:v>
                </c:pt>
                <c:pt idx="5">
                  <c:v>-4.8162671414014625E-2</c:v>
                </c:pt>
                <c:pt idx="6">
                  <c:v>-6.6084812855764202E-2</c:v>
                </c:pt>
                <c:pt idx="7">
                  <c:v>-8.5455555438264344E-2</c:v>
                </c:pt>
                <c:pt idx="8">
                  <c:v>-9.2953945341693323E-2</c:v>
                </c:pt>
                <c:pt idx="9">
                  <c:v>-0.10004968626635341</c:v>
                </c:pt>
                <c:pt idx="10">
                  <c:v>-0.10289588392479389</c:v>
                </c:pt>
                <c:pt idx="11">
                  <c:v>-0.10393705284951414</c:v>
                </c:pt>
              </c:numCache>
            </c:numRef>
          </c:val>
          <c:extLst>
            <c:ext xmlns:c16="http://schemas.microsoft.com/office/drawing/2014/chart" uri="{C3380CC4-5D6E-409C-BE32-E72D297353CC}">
              <c16:uniqueId val="{00000001-9E42-4359-9DC6-C24B98E72D57}"/>
            </c:ext>
          </c:extLst>
        </c:ser>
        <c:dLbls>
          <c:showLegendKey val="0"/>
          <c:showVal val="0"/>
          <c:showCatName val="0"/>
          <c:showSerName val="0"/>
          <c:showPercent val="0"/>
          <c:showBubbleSize val="0"/>
        </c:dLbls>
        <c:axId val="1401688559"/>
        <c:axId val="1401671919"/>
      </c:areaChart>
      <c:lineChart>
        <c:grouping val="standard"/>
        <c:varyColors val="0"/>
        <c:ser>
          <c:idx val="3"/>
          <c:order val="0"/>
          <c:tx>
            <c:v>1950–85</c:v>
          </c:tx>
          <c:spPr>
            <a:ln w="28575" cap="rnd">
              <a:solidFill>
                <a:srgbClr val="CC3300"/>
              </a:solidFill>
              <a:prstDash val="lgDash"/>
              <a:round/>
            </a:ln>
            <a:effectLst/>
          </c:spPr>
          <c:marker>
            <c:symbol val="none"/>
          </c:marker>
          <c:cat>
            <c:numRef>
              <c:f>'Figure 2.9.'!$O$5:$O$16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2.9.'!$S$5:$S$16</c:f>
              <c:numCache>
                <c:formatCode>0.0</c:formatCode>
                <c:ptCount val="12"/>
                <c:pt idx="0">
                  <c:v>0.80142581255417578</c:v>
                </c:pt>
                <c:pt idx="1">
                  <c:v>0.68968786924139502</c:v>
                </c:pt>
                <c:pt idx="2">
                  <c:v>0.58888116081479847</c:v>
                </c:pt>
                <c:pt idx="3">
                  <c:v>0.52035321399326484</c:v>
                </c:pt>
                <c:pt idx="4">
                  <c:v>0.47638758098700384</c:v>
                </c:pt>
                <c:pt idx="5">
                  <c:v>0.43890256633426744</c:v>
                </c:pt>
                <c:pt idx="6">
                  <c:v>0.4148038809097086</c:v>
                </c:pt>
                <c:pt idx="7">
                  <c:v>0.39706651641537111</c:v>
                </c:pt>
                <c:pt idx="8">
                  <c:v>0.38268888454289895</c:v>
                </c:pt>
                <c:pt idx="9">
                  <c:v>0.36921186953965013</c:v>
                </c:pt>
                <c:pt idx="10">
                  <c:v>0.35733552746969716</c:v>
                </c:pt>
                <c:pt idx="11">
                  <c:v>0.34696134283662039</c:v>
                </c:pt>
              </c:numCache>
            </c:numRef>
          </c:val>
          <c:smooth val="0"/>
          <c:extLst>
            <c:ext xmlns:c16="http://schemas.microsoft.com/office/drawing/2014/chart" uri="{C3380CC4-5D6E-409C-BE32-E72D297353CC}">
              <c16:uniqueId val="{00000002-9E42-4359-9DC6-C24B98E72D57}"/>
            </c:ext>
          </c:extLst>
        </c:ser>
        <c:ser>
          <c:idx val="4"/>
          <c:order val="1"/>
          <c:tx>
            <c:strRef>
              <c:f>'Figure 2.9.'!$T$4</c:f>
              <c:strCache>
                <c:ptCount val="1"/>
                <c:pt idx="0">
                  <c:v>1950_1985_band_upper</c:v>
                </c:pt>
              </c:strCache>
            </c:strRef>
          </c:tx>
          <c:spPr>
            <a:ln w="22225" cap="rnd">
              <a:solidFill>
                <a:srgbClr val="C00000"/>
              </a:solidFill>
              <a:prstDash val="sysDash"/>
              <a:round/>
            </a:ln>
            <a:effectLst/>
          </c:spPr>
          <c:marker>
            <c:symbol val="none"/>
          </c:marker>
          <c:cat>
            <c:numRef>
              <c:f>'Figure 2.9.'!$O$5:$O$16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2.9.'!$T$5:$T$16</c:f>
              <c:numCache>
                <c:formatCode>0.0</c:formatCode>
                <c:ptCount val="12"/>
                <c:pt idx="0">
                  <c:v>1.0812325205156357</c:v>
                </c:pt>
                <c:pt idx="1">
                  <c:v>0.98614747045151074</c:v>
                </c:pt>
                <c:pt idx="2">
                  <c:v>0.89622534377846441</c:v>
                </c:pt>
                <c:pt idx="3">
                  <c:v>0.83432044522536097</c:v>
                </c:pt>
                <c:pt idx="4">
                  <c:v>0.79498213916883764</c:v>
                </c:pt>
                <c:pt idx="5">
                  <c:v>0.76270329822679173</c:v>
                </c:pt>
                <c:pt idx="6">
                  <c:v>0.74057742073658284</c:v>
                </c:pt>
                <c:pt idx="7">
                  <c:v>0.71623740288668025</c:v>
                </c:pt>
                <c:pt idx="8">
                  <c:v>0.69826380783934583</c:v>
                </c:pt>
                <c:pt idx="9">
                  <c:v>0.69131020668276588</c:v>
                </c:pt>
                <c:pt idx="10">
                  <c:v>0.6797681550835768</c:v>
                </c:pt>
                <c:pt idx="11">
                  <c:v>0.66966313666193356</c:v>
                </c:pt>
              </c:numCache>
            </c:numRef>
          </c:val>
          <c:smooth val="0"/>
          <c:extLst>
            <c:ext xmlns:c16="http://schemas.microsoft.com/office/drawing/2014/chart" uri="{C3380CC4-5D6E-409C-BE32-E72D297353CC}">
              <c16:uniqueId val="{00000003-9E42-4359-9DC6-C24B98E72D57}"/>
            </c:ext>
          </c:extLst>
        </c:ser>
        <c:ser>
          <c:idx val="5"/>
          <c:order val="2"/>
          <c:tx>
            <c:strRef>
              <c:f>'Figure 2.9.'!$U$4</c:f>
              <c:strCache>
                <c:ptCount val="1"/>
                <c:pt idx="0">
                  <c:v>1950_1985_band_lower</c:v>
                </c:pt>
              </c:strCache>
            </c:strRef>
          </c:tx>
          <c:spPr>
            <a:ln w="22225" cap="rnd">
              <a:solidFill>
                <a:srgbClr val="CC3300"/>
              </a:solidFill>
              <a:prstDash val="sysDash"/>
              <a:round/>
            </a:ln>
            <a:effectLst/>
          </c:spPr>
          <c:marker>
            <c:symbol val="none"/>
          </c:marker>
          <c:cat>
            <c:numRef>
              <c:f>'Figure 2.9.'!$O$5:$O$16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2.9.'!$U$5:$U$16</c:f>
              <c:numCache>
                <c:formatCode>0.0</c:formatCode>
                <c:ptCount val="12"/>
                <c:pt idx="0">
                  <c:v>0.55421144604736672</c:v>
                </c:pt>
                <c:pt idx="1">
                  <c:v>0.43808074954422382</c:v>
                </c:pt>
                <c:pt idx="2">
                  <c:v>0.315059882298525</c:v>
                </c:pt>
                <c:pt idx="3">
                  <c:v>0.22792976756759947</c:v>
                </c:pt>
                <c:pt idx="4">
                  <c:v>0.17342910251402874</c:v>
                </c:pt>
                <c:pt idx="5">
                  <c:v>0.12373451671479375</c:v>
                </c:pt>
                <c:pt idx="6">
                  <c:v>0.10154787084722827</c:v>
                </c:pt>
                <c:pt idx="7">
                  <c:v>8.2793734761695645E-2</c:v>
                </c:pt>
                <c:pt idx="8">
                  <c:v>5.6488727785469726E-2</c:v>
                </c:pt>
                <c:pt idx="9">
                  <c:v>4.2019503071127312E-2</c:v>
                </c:pt>
                <c:pt idx="10">
                  <c:v>2.6992323045576985E-2</c:v>
                </c:pt>
                <c:pt idx="11">
                  <c:v>1.3707433415439861E-2</c:v>
                </c:pt>
              </c:numCache>
            </c:numRef>
          </c:val>
          <c:smooth val="0"/>
          <c:extLst>
            <c:ext xmlns:c16="http://schemas.microsoft.com/office/drawing/2014/chart" uri="{C3380CC4-5D6E-409C-BE32-E72D297353CC}">
              <c16:uniqueId val="{00000004-9E42-4359-9DC6-C24B98E72D57}"/>
            </c:ext>
          </c:extLst>
        </c:ser>
        <c:ser>
          <c:idx val="0"/>
          <c:order val="3"/>
          <c:tx>
            <c:strRef>
              <c:f>'Figure 2.9.'!$P$4</c:f>
              <c:strCache>
                <c:ptCount val="1"/>
                <c:pt idx="0">
                  <c:v>1986–2019</c:v>
                </c:pt>
              </c:strCache>
            </c:strRef>
          </c:tx>
          <c:spPr>
            <a:ln w="28575" cap="rnd">
              <a:solidFill>
                <a:srgbClr val="0000CC"/>
              </a:solidFill>
              <a:round/>
            </a:ln>
            <a:effectLst/>
          </c:spPr>
          <c:marker>
            <c:symbol val="none"/>
          </c:marker>
          <c:cat>
            <c:numRef>
              <c:f>'Figure 2.9.'!$O$5:$O$16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2.9.'!$P$5:$P$16</c:f>
              <c:numCache>
                <c:formatCode>0.0</c:formatCode>
                <c:ptCount val="12"/>
                <c:pt idx="0">
                  <c:v>0.96585245151644561</c:v>
                </c:pt>
                <c:pt idx="1">
                  <c:v>0.71410015023898943</c:v>
                </c:pt>
                <c:pt idx="2">
                  <c:v>0.51317172045004722</c:v>
                </c:pt>
                <c:pt idx="3">
                  <c:v>0.40456327942760006</c:v>
                </c:pt>
                <c:pt idx="4">
                  <c:v>0.34448083234178245</c:v>
                </c:pt>
                <c:pt idx="5">
                  <c:v>0.30945677853275283</c:v>
                </c:pt>
                <c:pt idx="6">
                  <c:v>0.28853783545582068</c:v>
                </c:pt>
                <c:pt idx="7">
                  <c:v>0.27022754694000745</c:v>
                </c:pt>
                <c:pt idx="8">
                  <c:v>0.25853595079367803</c:v>
                </c:pt>
                <c:pt idx="9">
                  <c:v>0.24749286163759515</c:v>
                </c:pt>
                <c:pt idx="10">
                  <c:v>0.2362092208590616</c:v>
                </c:pt>
                <c:pt idx="11">
                  <c:v>0.22681042276771318</c:v>
                </c:pt>
              </c:numCache>
            </c:numRef>
          </c:val>
          <c:smooth val="0"/>
          <c:extLst>
            <c:ext xmlns:c16="http://schemas.microsoft.com/office/drawing/2014/chart" uri="{C3380CC4-5D6E-409C-BE32-E72D297353CC}">
              <c16:uniqueId val="{00000005-9E42-4359-9DC6-C24B98E72D57}"/>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a:t>Years</a:t>
                </a:r>
              </a:p>
            </c:rich>
          </c:tx>
          <c:layout>
            <c:manualLayout>
              <c:xMode val="edge"/>
              <c:yMode val="edge"/>
              <c:x val="0.49566959829361923"/>
              <c:y val="0.8862932588864824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5"/>
          <c:min val="-0.5"/>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a:t>Percent</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valAx>
      <c:spPr>
        <a:noFill/>
        <a:ln>
          <a:noFill/>
        </a:ln>
        <a:effectLst/>
      </c:spPr>
    </c:plotArea>
    <c:legend>
      <c:legendPos val="t"/>
      <c:legendEntry>
        <c:idx val="0"/>
        <c:delete val="1"/>
      </c:legendEntry>
      <c:legendEntry>
        <c:idx val="1"/>
        <c:delete val="1"/>
      </c:legendEntry>
      <c:legendEntry>
        <c:idx val="3"/>
        <c:delete val="1"/>
      </c:legendEntry>
      <c:legendEntry>
        <c:idx val="4"/>
        <c:delete val="1"/>
      </c:legendEntry>
      <c:layout>
        <c:manualLayout>
          <c:xMode val="edge"/>
          <c:yMode val="edge"/>
          <c:x val="0.57372719763696678"/>
          <c:y val="0.13931696367318974"/>
          <c:w val="0.35721175765535079"/>
          <c:h val="0.2047002679104242"/>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62259091247172"/>
          <c:y val="6.0652994314262854E-2"/>
          <c:w val="0.7593796339204022"/>
          <c:h val="0.69437035270977066"/>
        </c:manualLayout>
      </c:layout>
      <c:areaChart>
        <c:grouping val="standard"/>
        <c:varyColors val="0"/>
        <c:ser>
          <c:idx val="1"/>
          <c:order val="1"/>
          <c:spPr>
            <a:solidFill>
              <a:schemeClr val="accent1">
                <a:lumMod val="60000"/>
                <a:lumOff val="40000"/>
              </a:schemeClr>
            </a:solidFill>
            <a:ln w="25400">
              <a:noFill/>
            </a:ln>
            <a:effectLst/>
          </c:spPr>
          <c:val>
            <c:numRef>
              <c:f>'Figure 2.10.'!$V$4:$V$16</c:f>
              <c:numCache>
                <c:formatCode>0.0</c:formatCode>
                <c:ptCount val="13"/>
                <c:pt idx="0">
                  <c:v>0.31369999999999998</c:v>
                </c:pt>
                <c:pt idx="1">
                  <c:v>0.43140000000000001</c:v>
                </c:pt>
                <c:pt idx="2">
                  <c:v>0.64370000000000005</c:v>
                </c:pt>
                <c:pt idx="3">
                  <c:v>0.6885</c:v>
                </c:pt>
                <c:pt idx="4">
                  <c:v>0.92479999999999996</c:v>
                </c:pt>
                <c:pt idx="5">
                  <c:v>0.98780000000000001</c:v>
                </c:pt>
                <c:pt idx="6">
                  <c:v>1.0164</c:v>
                </c:pt>
                <c:pt idx="7">
                  <c:v>1.0345</c:v>
                </c:pt>
                <c:pt idx="8">
                  <c:v>1.0330000000000001</c:v>
                </c:pt>
                <c:pt idx="9">
                  <c:v>1.0390999999999999</c:v>
                </c:pt>
                <c:pt idx="10">
                  <c:v>1.0025999999999999</c:v>
                </c:pt>
                <c:pt idx="11">
                  <c:v>0.93269999999999997</c:v>
                </c:pt>
                <c:pt idx="12">
                  <c:v>0.85030000000000006</c:v>
                </c:pt>
              </c:numCache>
            </c:numRef>
          </c:val>
          <c:extLst>
            <c:ext xmlns:c16="http://schemas.microsoft.com/office/drawing/2014/chart" uri="{C3380CC4-5D6E-409C-BE32-E72D297353CC}">
              <c16:uniqueId val="{00000000-24A2-49B9-AD0C-D18646380342}"/>
            </c:ext>
          </c:extLst>
        </c:ser>
        <c:ser>
          <c:idx val="2"/>
          <c:order val="2"/>
          <c:spPr>
            <a:solidFill>
              <a:schemeClr val="bg1"/>
            </a:solidFill>
            <a:ln w="25400">
              <a:noFill/>
            </a:ln>
            <a:effectLst/>
          </c:spPr>
          <c:val>
            <c:numRef>
              <c:f>'Figure 2.10.'!$W$4:$W$16</c:f>
              <c:numCache>
                <c:formatCode>0.0</c:formatCode>
                <c:ptCount val="13"/>
                <c:pt idx="0">
                  <c:v>7.0099999999999996E-2</c:v>
                </c:pt>
                <c:pt idx="1">
                  <c:v>1.9699999999999999E-2</c:v>
                </c:pt>
                <c:pt idx="2">
                  <c:v>0.10490000000000001</c:v>
                </c:pt>
                <c:pt idx="3">
                  <c:v>5.6599999999999998E-2</c:v>
                </c:pt>
                <c:pt idx="4">
                  <c:v>0.2235</c:v>
                </c:pt>
                <c:pt idx="5">
                  <c:v>0.24949999999999997</c:v>
                </c:pt>
                <c:pt idx="6">
                  <c:v>0.23849999999999999</c:v>
                </c:pt>
                <c:pt idx="7">
                  <c:v>0.22399999999999998</c:v>
                </c:pt>
                <c:pt idx="8">
                  <c:v>0.19900000000000001</c:v>
                </c:pt>
                <c:pt idx="9">
                  <c:v>0.19070000000000001</c:v>
                </c:pt>
                <c:pt idx="10">
                  <c:v>0.15490000000000001</c:v>
                </c:pt>
                <c:pt idx="11">
                  <c:v>9.4399999999999998E-2</c:v>
                </c:pt>
                <c:pt idx="12">
                  <c:v>2.8200000000000003E-2</c:v>
                </c:pt>
              </c:numCache>
            </c:numRef>
          </c:val>
          <c:extLst>
            <c:ext xmlns:c16="http://schemas.microsoft.com/office/drawing/2014/chart" uri="{C3380CC4-5D6E-409C-BE32-E72D297353CC}">
              <c16:uniqueId val="{00000001-24A2-49B9-AD0C-D18646380342}"/>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2.10.'!$U$3</c:f>
              <c:strCache>
                <c:ptCount val="1"/>
                <c:pt idx="0">
                  <c:v>Base</c:v>
                </c:pt>
              </c:strCache>
            </c:strRef>
          </c:tx>
          <c:spPr>
            <a:ln w="28575" cap="rnd">
              <a:solidFill>
                <a:srgbClr val="0000CC"/>
              </a:solidFill>
              <a:round/>
            </a:ln>
            <a:effectLst/>
          </c:spPr>
          <c:marker>
            <c:symbol val="none"/>
          </c:marker>
          <c:cat>
            <c:numRef>
              <c:f>'Figure 2.10.'!$T$4:$T$16</c:f>
              <c:numCache>
                <c:formatCode>0</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2.10.'!$U$4:$U$16</c:f>
              <c:numCache>
                <c:formatCode>0.0</c:formatCode>
                <c:ptCount val="13"/>
                <c:pt idx="0">
                  <c:v>0.19189999999999999</c:v>
                </c:pt>
                <c:pt idx="1">
                  <c:v>0.22550000000000001</c:v>
                </c:pt>
                <c:pt idx="2">
                  <c:v>0.37429999999999997</c:v>
                </c:pt>
                <c:pt idx="3">
                  <c:v>0.37260000000000004</c:v>
                </c:pt>
                <c:pt idx="4">
                  <c:v>0.57409999999999994</c:v>
                </c:pt>
                <c:pt idx="5">
                  <c:v>0.61859999999999993</c:v>
                </c:pt>
                <c:pt idx="6">
                  <c:v>0.62739999999999996</c:v>
                </c:pt>
                <c:pt idx="7">
                  <c:v>0.62919999999999998</c:v>
                </c:pt>
                <c:pt idx="8">
                  <c:v>0.61599999999999999</c:v>
                </c:pt>
                <c:pt idx="9">
                  <c:v>0.6149</c:v>
                </c:pt>
                <c:pt idx="10">
                  <c:v>0.57869999999999999</c:v>
                </c:pt>
                <c:pt idx="11">
                  <c:v>0.51349999999999996</c:v>
                </c:pt>
                <c:pt idx="12">
                  <c:v>0.43920000000000003</c:v>
                </c:pt>
              </c:numCache>
            </c:numRef>
          </c:val>
          <c:smooth val="0"/>
          <c:extLst>
            <c:ext xmlns:c16="http://schemas.microsoft.com/office/drawing/2014/chart" uri="{C3380CC4-5D6E-409C-BE32-E72D297353CC}">
              <c16:uniqueId val="{00000002-24A2-49B9-AD0C-D18646380342}"/>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Quarters following the shock</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
          <c:min val="-0.2"/>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2.7435229752966046E-2"/>
              <c:y val="0.278505375411467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1"/>
          <c:spPr>
            <a:solidFill>
              <a:schemeClr val="accent1">
                <a:lumMod val="60000"/>
                <a:lumOff val="40000"/>
              </a:schemeClr>
            </a:solidFill>
            <a:ln w="25400">
              <a:noFill/>
            </a:ln>
            <a:effectLst/>
          </c:spPr>
          <c:cat>
            <c:numRef>
              <c:f>'Figure 2.10.'!$Y$4:$Y$16</c:f>
              <c:numCache>
                <c:formatCode>0</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2.10.'!$AA$4:$AA$16</c:f>
              <c:numCache>
                <c:formatCode>0.0</c:formatCode>
                <c:ptCount val="13"/>
                <c:pt idx="0">
                  <c:v>0.23035</c:v>
                </c:pt>
                <c:pt idx="1">
                  <c:v>0.40326899999999999</c:v>
                </c:pt>
                <c:pt idx="2">
                  <c:v>0.60316700000000001</c:v>
                </c:pt>
                <c:pt idx="3">
                  <c:v>0.669215</c:v>
                </c:pt>
                <c:pt idx="4">
                  <c:v>0.55546200000000001</c:v>
                </c:pt>
                <c:pt idx="5">
                  <c:v>0.36813200000000001</c:v>
                </c:pt>
                <c:pt idx="6">
                  <c:v>0.240174</c:v>
                </c:pt>
                <c:pt idx="7">
                  <c:v>0.15229799999999999</c:v>
                </c:pt>
                <c:pt idx="8">
                  <c:v>0.117267</c:v>
                </c:pt>
                <c:pt idx="9">
                  <c:v>0.108794</c:v>
                </c:pt>
                <c:pt idx="10">
                  <c:v>0.12531100000000001</c:v>
                </c:pt>
                <c:pt idx="11">
                  <c:v>0.15507199999999999</c:v>
                </c:pt>
                <c:pt idx="12">
                  <c:v>0.18693100000000001</c:v>
                </c:pt>
              </c:numCache>
            </c:numRef>
          </c:val>
          <c:extLst>
            <c:ext xmlns:c16="http://schemas.microsoft.com/office/drawing/2014/chart" uri="{C3380CC4-5D6E-409C-BE32-E72D297353CC}">
              <c16:uniqueId val="{00000000-CF52-4933-A56D-CDAEC0C9916F}"/>
            </c:ext>
          </c:extLst>
        </c:ser>
        <c:ser>
          <c:idx val="2"/>
          <c:order val="2"/>
          <c:spPr>
            <a:gradFill>
              <a:gsLst>
                <a:gs pos="58000">
                  <a:schemeClr val="bg1"/>
                </a:gs>
                <a:gs pos="60000">
                  <a:schemeClr val="accent1">
                    <a:lumMod val="60000"/>
                    <a:lumOff val="40000"/>
                  </a:schemeClr>
                </a:gs>
              </a:gsLst>
              <a:lin ang="5400000" scaled="1"/>
            </a:gradFill>
            <a:ln w="25400">
              <a:noFill/>
            </a:ln>
            <a:effectLst/>
          </c:spPr>
          <c:cat>
            <c:numRef>
              <c:f>'Figure 2.10.'!$Y$4:$Y$16</c:f>
              <c:numCache>
                <c:formatCode>0</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2.10.'!$AB$4:$AB$16</c:f>
              <c:numCache>
                <c:formatCode>0.0</c:formatCode>
                <c:ptCount val="13"/>
                <c:pt idx="0">
                  <c:v>7.3784000000000002E-2</c:v>
                </c:pt>
                <c:pt idx="1">
                  <c:v>0.161217</c:v>
                </c:pt>
                <c:pt idx="2">
                  <c:v>0.296433</c:v>
                </c:pt>
                <c:pt idx="3">
                  <c:v>0.31112600000000001</c:v>
                </c:pt>
                <c:pt idx="4">
                  <c:v>0.1646</c:v>
                </c:pt>
                <c:pt idx="5">
                  <c:v>-1.8893E-2</c:v>
                </c:pt>
                <c:pt idx="6">
                  <c:v>-0.136574</c:v>
                </c:pt>
                <c:pt idx="7">
                  <c:v>-0.203012</c:v>
                </c:pt>
                <c:pt idx="8">
                  <c:v>-0.21068600000000001</c:v>
                </c:pt>
                <c:pt idx="9">
                  <c:v>-0.195857</c:v>
                </c:pt>
                <c:pt idx="10">
                  <c:v>-0.158306</c:v>
                </c:pt>
                <c:pt idx="11">
                  <c:v>-0.111245</c:v>
                </c:pt>
                <c:pt idx="12">
                  <c:v>-6.5740000000000007E-2</c:v>
                </c:pt>
              </c:numCache>
            </c:numRef>
          </c:val>
          <c:extLst>
            <c:ext xmlns:c16="http://schemas.microsoft.com/office/drawing/2014/chart" uri="{C3380CC4-5D6E-409C-BE32-E72D297353CC}">
              <c16:uniqueId val="{00000001-CF52-4933-A56D-CDAEC0C9916F}"/>
            </c:ext>
          </c:extLst>
        </c:ser>
        <c:dLbls>
          <c:showLegendKey val="0"/>
          <c:showVal val="0"/>
          <c:showCatName val="0"/>
          <c:showSerName val="0"/>
          <c:showPercent val="0"/>
          <c:showBubbleSize val="0"/>
        </c:dLbls>
        <c:axId val="1401688559"/>
        <c:axId val="1401671919"/>
      </c:areaChart>
      <c:lineChart>
        <c:grouping val="standard"/>
        <c:varyColors val="0"/>
        <c:ser>
          <c:idx val="0"/>
          <c:order val="0"/>
          <c:tx>
            <c:strRef>
              <c:f>'Figure 2.10.'!$Z$3</c:f>
              <c:strCache>
                <c:ptCount val="1"/>
                <c:pt idx="0">
                  <c:v>Base</c:v>
                </c:pt>
              </c:strCache>
            </c:strRef>
          </c:tx>
          <c:spPr>
            <a:ln w="28575" cap="rnd">
              <a:solidFill>
                <a:srgbClr val="0000CC"/>
              </a:solidFill>
              <a:round/>
            </a:ln>
            <a:effectLst/>
          </c:spPr>
          <c:marker>
            <c:symbol val="none"/>
          </c:marker>
          <c:cat>
            <c:numLit>
              <c:formatCode>0</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Lit>
          </c:cat>
          <c:val>
            <c:numRef>
              <c:f>'Figure 2.10.'!$Z$4:$Z$16</c:f>
              <c:numCache>
                <c:formatCode>0.0</c:formatCode>
                <c:ptCount val="13"/>
                <c:pt idx="0">
                  <c:v>0.15206700000000001</c:v>
                </c:pt>
                <c:pt idx="1">
                  <c:v>0.28224300000000002</c:v>
                </c:pt>
                <c:pt idx="2">
                  <c:v>0.44979999999999998</c:v>
                </c:pt>
                <c:pt idx="3">
                  <c:v>0.49017100000000002</c:v>
                </c:pt>
                <c:pt idx="4">
                  <c:v>0.36003099999999999</c:v>
                </c:pt>
                <c:pt idx="5">
                  <c:v>0.174619</c:v>
                </c:pt>
                <c:pt idx="6">
                  <c:v>5.1799999999999999E-2</c:v>
                </c:pt>
                <c:pt idx="7">
                  <c:v>-2.5357000000000001E-2</c:v>
                </c:pt>
                <c:pt idx="8">
                  <c:v>-4.6709000000000001E-2</c:v>
                </c:pt>
                <c:pt idx="9">
                  <c:v>-4.3531E-2</c:v>
                </c:pt>
                <c:pt idx="10">
                  <c:v>-1.6497000000000001E-2</c:v>
                </c:pt>
                <c:pt idx="11">
                  <c:v>2.1912999999999998E-2</c:v>
                </c:pt>
                <c:pt idx="12">
                  <c:v>6.0595000000000003E-2</c:v>
                </c:pt>
              </c:numCache>
            </c:numRef>
          </c:val>
          <c:smooth val="0"/>
          <c:extLst>
            <c:ext xmlns:c16="http://schemas.microsoft.com/office/drawing/2014/chart" uri="{C3380CC4-5D6E-409C-BE32-E72D297353CC}">
              <c16:uniqueId val="{00000002-CF52-4933-A56D-CDAEC0C9916F}"/>
            </c:ext>
          </c:extLst>
        </c:ser>
        <c:dLbls>
          <c:showLegendKey val="0"/>
          <c:showVal val="0"/>
          <c:showCatName val="0"/>
          <c:showSerName val="0"/>
          <c:showPercent val="0"/>
          <c:showBubbleSize val="0"/>
        </c:dLbls>
        <c:marker val="1"/>
        <c:smooth val="0"/>
        <c:axId val="1401688559"/>
        <c:axId val="1401671919"/>
      </c:lineChart>
      <c:catAx>
        <c:axId val="1401688559"/>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a:t>Quarters following the shock</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71919"/>
        <c:crosses val="autoZero"/>
        <c:auto val="1"/>
        <c:lblAlgn val="ctr"/>
        <c:lblOffset val="0"/>
        <c:noMultiLvlLbl val="0"/>
      </c:catAx>
      <c:valAx>
        <c:axId val="1401671919"/>
        <c:scaling>
          <c:orientation val="minMax"/>
          <c:max val="1"/>
          <c:min val="-0.2"/>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a:t>Percentage points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1688559"/>
        <c:crosses val="autoZero"/>
        <c:crossBetween val="midCat"/>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546659492632"/>
          <c:y val="9.3820913670572603E-2"/>
          <c:w val="0.83000120866888516"/>
          <c:h val="0.75084587290427018"/>
        </c:manualLayout>
      </c:layout>
      <c:lineChart>
        <c:grouping val="standard"/>
        <c:varyColors val="0"/>
        <c:ser>
          <c:idx val="0"/>
          <c:order val="0"/>
          <c:spPr>
            <a:ln w="28575" cap="rnd">
              <a:solidFill>
                <a:schemeClr val="tx1"/>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2.11.'!$AB$24:$AB$36</c:f>
              <c:numCache>
                <c:formatCode>0.0</c:formatCode>
                <c:ptCount val="13"/>
                <c:pt idx="0">
                  <c:v>3.3853144573303341E-3</c:v>
                </c:pt>
                <c:pt idx="1">
                  <c:v>-0.84399361856858579</c:v>
                </c:pt>
                <c:pt idx="2">
                  <c:v>-0.58211949807592911</c:v>
                </c:pt>
                <c:pt idx="3">
                  <c:v>-0.40620893877637743</c:v>
                </c:pt>
                <c:pt idx="4">
                  <c:v>-0.28712283040186498</c:v>
                </c:pt>
                <c:pt idx="5">
                  <c:v>-0.2058001457767703</c:v>
                </c:pt>
                <c:pt idx="6">
                  <c:v>-0.1497238969057515</c:v>
                </c:pt>
                <c:pt idx="7">
                  <c:v>-0.1106326606562327</c:v>
                </c:pt>
                <c:pt idx="8">
                  <c:v>-8.3050799997004016E-2</c:v>
                </c:pt>
                <c:pt idx="9">
                  <c:v>-6.3329459201816568E-2</c:v>
                </c:pt>
                <c:pt idx="10">
                  <c:v>-4.9025473132849898E-2</c:v>
                </c:pt>
                <c:pt idx="11">
                  <c:v>-3.8493339338542987E-2</c:v>
                </c:pt>
                <c:pt idx="12">
                  <c:v>-3.0617899000547202E-2</c:v>
                </c:pt>
              </c:numCache>
            </c:numRef>
          </c:val>
          <c:smooth val="0"/>
          <c:extLst>
            <c:ext xmlns:c16="http://schemas.microsoft.com/office/drawing/2014/chart" uri="{C3380CC4-5D6E-409C-BE32-E72D297353CC}">
              <c16:uniqueId val="{00000000-A4A3-416F-8512-5D9D2B1DFDFF}"/>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3"/>
          <c:min val="-1"/>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52158569000781"/>
          <c:y val="7.0560351282901695E-2"/>
          <c:w val="0.6994008686583727"/>
          <c:h val="0.78105074681365616"/>
        </c:manualLayout>
      </c:layout>
      <c:lineChart>
        <c:grouping val="standard"/>
        <c:varyColors val="0"/>
        <c:ser>
          <c:idx val="1"/>
          <c:order val="0"/>
          <c:tx>
            <c:strRef>
              <c:f>'Figure 2.11.'!$AD$23</c:f>
              <c:strCache>
                <c:ptCount val="1"/>
                <c:pt idx="0">
                  <c:v>Inflation (percentage points)</c:v>
                </c:pt>
              </c:strCache>
            </c:strRef>
          </c:tx>
          <c:spPr>
            <a:ln w="28575" cap="rnd">
              <a:solidFill>
                <a:schemeClr val="accent2">
                  <a:lumMod val="75000"/>
                </a:schemeClr>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2.11.'!$AD$24:$AD$36</c:f>
              <c:numCache>
                <c:formatCode>0.0</c:formatCode>
                <c:ptCount val="13"/>
                <c:pt idx="0">
                  <c:v>-0.67706289146608767</c:v>
                </c:pt>
                <c:pt idx="1">
                  <c:v>-0.46699915280477872</c:v>
                </c:pt>
                <c:pt idx="2">
                  <c:v>-0.32588858600884307</c:v>
                </c:pt>
                <c:pt idx="3">
                  <c:v>-0.23035874693531119</c:v>
                </c:pt>
                <c:pt idx="4">
                  <c:v>-0.16512065345478219</c:v>
                </c:pt>
                <c:pt idx="5">
                  <c:v>-0.1201342083414815</c:v>
                </c:pt>
                <c:pt idx="6">
                  <c:v>-8.8772704220067195E-2</c:v>
                </c:pt>
                <c:pt idx="7">
                  <c:v>-6.6643923770254895E-2</c:v>
                </c:pt>
                <c:pt idx="8">
                  <c:v>-5.0820943162920303E-2</c:v>
                </c:pt>
                <c:pt idx="9">
                  <c:v>-3.934395036676127E-2</c:v>
                </c:pt>
                <c:pt idx="10">
                  <c:v>-3.0892965120336579E-2</c:v>
                </c:pt>
                <c:pt idx="11">
                  <c:v>-2.4573412375547679E-2</c:v>
                </c:pt>
                <c:pt idx="12">
                  <c:v>-1.9773293777479939E-2</c:v>
                </c:pt>
              </c:numCache>
            </c:numRef>
          </c:val>
          <c:smooth val="0"/>
          <c:extLst>
            <c:ext xmlns:c16="http://schemas.microsoft.com/office/drawing/2014/chart" uri="{C3380CC4-5D6E-409C-BE32-E72D297353CC}">
              <c16:uniqueId val="{00000000-ACF5-4CA8-AB39-501BA89920C1}"/>
            </c:ext>
          </c:extLst>
        </c:ser>
        <c:ser>
          <c:idx val="2"/>
          <c:order val="1"/>
          <c:tx>
            <c:strRef>
              <c:f>'Figure 2.11.'!$AE$23</c:f>
              <c:strCache>
                <c:ptCount val="1"/>
                <c:pt idx="0">
                  <c:v>Consumption</c:v>
                </c:pt>
              </c:strCache>
            </c:strRef>
          </c:tx>
          <c:spPr>
            <a:ln w="28575" cap="rnd">
              <a:solidFill>
                <a:schemeClr val="accent5">
                  <a:lumMod val="50000"/>
                </a:schemeClr>
              </a:solidFill>
              <a:prstDash val="lg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2.11.'!$AE$24:$AE$36</c:f>
              <c:numCache>
                <c:formatCode>0.0</c:formatCode>
                <c:ptCount val="13"/>
                <c:pt idx="0">
                  <c:v>-0.36907657659043691</c:v>
                </c:pt>
                <c:pt idx="1">
                  <c:v>-0.28488457172255383</c:v>
                </c:pt>
                <c:pt idx="2">
                  <c:v>-0.2192649749315064</c:v>
                </c:pt>
                <c:pt idx="3">
                  <c:v>-0.1686796891358735</c:v>
                </c:pt>
                <c:pt idx="4">
                  <c:v>-0.12997159480918599</c:v>
                </c:pt>
                <c:pt idx="5">
                  <c:v>-0.1005190356918091</c:v>
                </c:pt>
                <c:pt idx="6">
                  <c:v>-7.8172400872401737E-2</c:v>
                </c:pt>
                <c:pt idx="7">
                  <c:v>-6.1236823546829078E-2</c:v>
                </c:pt>
                <c:pt idx="8">
                  <c:v>-4.838485860843917E-2</c:v>
                </c:pt>
                <c:pt idx="9">
                  <c:v>-3.8600377175337201E-2</c:v>
                </c:pt>
                <c:pt idx="10">
                  <c:v>-3.1112372279834041E-2</c:v>
                </c:pt>
                <c:pt idx="11">
                  <c:v>-2.534995549547845E-2</c:v>
                </c:pt>
                <c:pt idx="12">
                  <c:v>-2.0879349718652601E-2</c:v>
                </c:pt>
              </c:numCache>
            </c:numRef>
          </c:val>
          <c:smooth val="0"/>
          <c:extLst>
            <c:ext xmlns:c16="http://schemas.microsoft.com/office/drawing/2014/chart" uri="{C3380CC4-5D6E-409C-BE32-E72D297353CC}">
              <c16:uniqueId val="{00000001-ACF5-4CA8-AB39-501BA89920C1}"/>
            </c:ext>
          </c:extLst>
        </c:ser>
        <c:dLbls>
          <c:showLegendKey val="0"/>
          <c:showVal val="0"/>
          <c:showCatName val="0"/>
          <c:showSerName val="0"/>
          <c:showPercent val="0"/>
          <c:showBubbleSize val="0"/>
        </c:dLbls>
        <c:marker val="1"/>
        <c:smooth val="0"/>
        <c:axId val="1275589808"/>
        <c:axId val="1275596464"/>
      </c:lineChart>
      <c:lineChart>
        <c:grouping val="standard"/>
        <c:varyColors val="0"/>
        <c:ser>
          <c:idx val="0"/>
          <c:order val="2"/>
          <c:tx>
            <c:strRef>
              <c:f>'Figure 2.11.'!$AM$23</c:f>
              <c:strCache>
                <c:ptCount val="1"/>
                <c:pt idx="0">
                  <c:v>GDP (right scale)</c:v>
                </c:pt>
              </c:strCache>
            </c:strRef>
          </c:tx>
          <c:spPr>
            <a:ln w="28575" cap="rnd">
              <a:solidFill>
                <a:schemeClr val="tx1"/>
              </a:solidFill>
              <a:prstDash val="sysDash"/>
              <a:round/>
            </a:ln>
            <a:effectLst/>
          </c:spPr>
          <c:marker>
            <c:symbol val="none"/>
          </c:marker>
          <c:val>
            <c:numRef>
              <c:f>'Figure 2.11.'!$AM$24:$AM$35</c:f>
              <c:numCache>
                <c:formatCode>0.0</c:formatCode>
                <c:ptCount val="12"/>
                <c:pt idx="0">
                  <c:v>-1.761178939094096</c:v>
                </c:pt>
                <c:pt idx="1">
                  <c:v>-1.146612741602105</c:v>
                </c:pt>
                <c:pt idx="2">
                  <c:v>-0.75053166716161079</c:v>
                </c:pt>
                <c:pt idx="3">
                  <c:v>-0.49445613231759122</c:v>
                </c:pt>
                <c:pt idx="4">
                  <c:v>-0.32828698689793417</c:v>
                </c:pt>
                <c:pt idx="5">
                  <c:v>-0.22001390003169141</c:v>
                </c:pt>
                <c:pt idx="6">
                  <c:v>-0.1491178533217811</c:v>
                </c:pt>
                <c:pt idx="7">
                  <c:v>-0.1024307469053511</c:v>
                </c:pt>
                <c:pt idx="8">
                  <c:v>-7.1472851820905126E-2</c:v>
                </c:pt>
                <c:pt idx="9">
                  <c:v>-5.0774631752678157E-2</c:v>
                </c:pt>
                <c:pt idx="10">
                  <c:v>-3.6797653574177067E-2</c:v>
                </c:pt>
                <c:pt idx="11">
                  <c:v>-2.725242423251005E-2</c:v>
                </c:pt>
              </c:numCache>
            </c:numRef>
          </c:val>
          <c:smooth val="0"/>
          <c:extLst>
            <c:ext xmlns:c16="http://schemas.microsoft.com/office/drawing/2014/chart" uri="{C3380CC4-5D6E-409C-BE32-E72D297353CC}">
              <c16:uniqueId val="{00000002-ACF5-4CA8-AB39-501BA89920C1}"/>
            </c:ext>
          </c:extLst>
        </c:ser>
        <c:dLbls>
          <c:showLegendKey val="0"/>
          <c:showVal val="0"/>
          <c:showCatName val="0"/>
          <c:showSerName val="0"/>
          <c:showPercent val="0"/>
          <c:showBubbleSize val="0"/>
        </c:dLbls>
        <c:marker val="1"/>
        <c:smooth val="0"/>
        <c:axId val="218214319"/>
        <c:axId val="218229711"/>
      </c:lineChart>
      <c:catAx>
        <c:axId val="1275589808"/>
        <c:scaling>
          <c:orientation val="minMax"/>
        </c:scaling>
        <c:delete val="0"/>
        <c:axPos val="b"/>
        <c:numFmt formatCode="General" sourceLinked="1"/>
        <c:majorTickMark val="none"/>
        <c:minorTickMark val="none"/>
        <c:tickLblPos val="low"/>
        <c:spPr>
          <a:noFill/>
          <a:ln w="222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in val="-0.8"/>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2"/>
      </c:valAx>
      <c:valAx>
        <c:axId val="218229711"/>
        <c:scaling>
          <c:orientation val="minMax"/>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8214319"/>
        <c:crosses val="max"/>
        <c:crossBetween val="between"/>
        <c:majorUnit val="0.5"/>
      </c:valAx>
      <c:catAx>
        <c:axId val="218214319"/>
        <c:scaling>
          <c:orientation val="minMax"/>
        </c:scaling>
        <c:delete val="1"/>
        <c:axPos val="b"/>
        <c:majorTickMark val="out"/>
        <c:minorTickMark val="none"/>
        <c:tickLblPos val="nextTo"/>
        <c:crossAx val="218229711"/>
        <c:crosses val="autoZero"/>
        <c:auto val="1"/>
        <c:lblAlgn val="ctr"/>
        <c:lblOffset val="100"/>
        <c:noMultiLvlLbl val="0"/>
      </c:catAx>
      <c:spPr>
        <a:noFill/>
        <a:ln>
          <a:noFill/>
        </a:ln>
        <a:effectLst/>
      </c:spPr>
    </c:plotArea>
    <c:legend>
      <c:legendPos val="r"/>
      <c:layout>
        <c:manualLayout>
          <c:xMode val="edge"/>
          <c:yMode val="edge"/>
          <c:x val="0.28989631126264542"/>
          <c:y val="0.36933211016517015"/>
          <c:w val="0.59762466770927436"/>
          <c:h val="0.44415738123980997"/>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08467737308148"/>
          <c:y val="9.3820913670572603E-2"/>
          <c:w val="0.82537562012933718"/>
          <c:h val="0.75084587290427018"/>
        </c:manualLayout>
      </c:layout>
      <c:lineChart>
        <c:grouping val="standard"/>
        <c:varyColors val="0"/>
        <c:ser>
          <c:idx val="0"/>
          <c:order val="0"/>
          <c:tx>
            <c:strRef>
              <c:f>'Figure 2.11.'!$AB$7</c:f>
              <c:strCache>
                <c:ptCount val="1"/>
                <c:pt idx="0">
                  <c:v>Variation in interest rates</c:v>
                </c:pt>
              </c:strCache>
            </c:strRef>
          </c:tx>
          <c:spPr>
            <a:ln w="28575" cap="rnd">
              <a:solidFill>
                <a:schemeClr val="tx1"/>
              </a:solidFill>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2.11.'!$AB$8:$AB$20</c:f>
              <c:numCache>
                <c:formatCode>0.0</c:formatCode>
                <c:ptCount val="13"/>
                <c:pt idx="0">
                  <c:v>2.5026045407798221</c:v>
                </c:pt>
                <c:pt idx="1">
                  <c:v>1.163346793154616</c:v>
                </c:pt>
                <c:pt idx="2">
                  <c:v>0.8200920676869925</c:v>
                </c:pt>
                <c:pt idx="3">
                  <c:v>0.57223856252552074</c:v>
                </c:pt>
                <c:pt idx="4">
                  <c:v>0.39363748101887303</c:v>
                </c:pt>
                <c:pt idx="5">
                  <c:v>0.26528730754770841</c:v>
                </c:pt>
                <c:pt idx="6">
                  <c:v>0.17338169436382431</c:v>
                </c:pt>
                <c:pt idx="7">
                  <c:v>0.1078894179515545</c:v>
                </c:pt>
                <c:pt idx="8">
                  <c:v>6.1523265507625248E-2</c:v>
                </c:pt>
                <c:pt idx="9">
                  <c:v>2.898985999127196E-2</c:v>
                </c:pt>
                <c:pt idx="10">
                  <c:v>6.4451656767357266E-3</c:v>
                </c:pt>
                <c:pt idx="11">
                  <c:v>-8.9011502857255249E-3</c:v>
                </c:pt>
                <c:pt idx="12">
                  <c:v>-1.907412351421451E-2</c:v>
                </c:pt>
              </c:numCache>
            </c:numRef>
          </c:val>
          <c:smooth val="0"/>
          <c:extLst>
            <c:ext xmlns:c16="http://schemas.microsoft.com/office/drawing/2014/chart" uri="{C3380CC4-5D6E-409C-BE32-E72D297353CC}">
              <c16:uniqueId val="{00000000-9EB0-43AF-84A6-00BDB792AE20}"/>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3"/>
          <c:min val="-1"/>
        </c:scaling>
        <c:delete val="0"/>
        <c:axPos val="l"/>
        <c:numFmt formatCode="0.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47664745031868E-2"/>
          <c:y val="6.8144778097255207E-2"/>
          <c:w val="0.90787729658792649"/>
          <c:h val="0.80764684998697789"/>
        </c:manualLayout>
      </c:layout>
      <c:barChart>
        <c:barDir val="col"/>
        <c:grouping val="clustered"/>
        <c:varyColors val="0"/>
        <c:ser>
          <c:idx val="3"/>
          <c:order val="0"/>
          <c:tx>
            <c:v>Primary balance (all EMs)</c:v>
          </c:tx>
          <c:spPr>
            <a:solidFill>
              <a:srgbClr val="7030A0"/>
            </a:solidFill>
            <a:ln>
              <a:noFill/>
            </a:ln>
            <a:effectLst/>
          </c:spPr>
          <c:invertIfNegative val="0"/>
          <c:val>
            <c:numRef>
              <c:f>'Figure 1.4'!$C$35:$K$35</c:f>
              <c:numCache>
                <c:formatCode>0.0</c:formatCode>
                <c:ptCount val="9"/>
                <c:pt idx="0">
                  <c:v>-2.7315264628302121</c:v>
                </c:pt>
                <c:pt idx="1">
                  <c:v>-7.1660088392595105</c:v>
                </c:pt>
                <c:pt idx="2">
                  <c:v>-3.4633039839891628</c:v>
                </c:pt>
                <c:pt idx="3">
                  <c:v>-3.495203522548715</c:v>
                </c:pt>
                <c:pt idx="4">
                  <c:v>-3.6771640939709931</c:v>
                </c:pt>
                <c:pt idx="5">
                  <c:v>-3.0123733381705442</c:v>
                </c:pt>
                <c:pt idx="6">
                  <c:v>-2.7682579302470245</c:v>
                </c:pt>
                <c:pt idx="7">
                  <c:v>-2.4922035177006907</c:v>
                </c:pt>
                <c:pt idx="8">
                  <c:v>-2.2822770567374304</c:v>
                </c:pt>
              </c:numCache>
            </c:numRef>
          </c:val>
          <c:extLst>
            <c:ext xmlns:c15="http://schemas.microsoft.com/office/drawing/2012/chart" uri="{02D57815-91ED-43cb-92C2-25804820EDAC}">
              <c15:filteredCategoryTitle>
                <c15:cat>
                  <c:strRef>
                    <c:extLst>
                      <c:ext uri="{02D57815-91ED-43cb-92C2-25804820EDAC}">
                        <c15:formulaRef>
                          <c15:sqref>[228]Figure1!#REF!</c15:sqref>
                        </c15:formulaRef>
                      </c:ext>
                    </c:extLst>
                    <c:strCache>
                      <c:ptCount val="1"/>
                      <c:pt idx="0">
                        <c:v>#REF!</c:v>
                      </c:pt>
                    </c:strCache>
                  </c:strRef>
                </c15:cat>
              </c15:filteredCategoryTitle>
            </c:ext>
            <c:ext xmlns:c16="http://schemas.microsoft.com/office/drawing/2014/chart" uri="{C3380CC4-5D6E-409C-BE32-E72D297353CC}">
              <c16:uniqueId val="{00000000-7C41-46DC-81E9-64FB02394620}"/>
            </c:ext>
          </c:extLst>
        </c:ser>
        <c:ser>
          <c:idx val="0"/>
          <c:order val="1"/>
          <c:tx>
            <c:v>Primary balance (excl. China)</c:v>
          </c:tx>
          <c:spPr>
            <a:pattFill prst="wdUpDiag">
              <a:fgClr>
                <a:srgbClr val="7030A0"/>
              </a:fgClr>
              <a:bgClr>
                <a:schemeClr val="bg1"/>
              </a:bgClr>
            </a:pattFill>
            <a:ln w="12700">
              <a:solidFill>
                <a:srgbClr val="7030A0"/>
              </a:solidFill>
            </a:ln>
            <a:effectLst/>
          </c:spPr>
          <c:invertIfNegative val="0"/>
          <c:val>
            <c:numRef>
              <c:f>'Figure 1.4'!$C$37:$K$37</c:f>
              <c:numCache>
                <c:formatCode>0.0</c:formatCode>
                <c:ptCount val="9"/>
                <c:pt idx="0">
                  <c:v>-0.80350479093581606</c:v>
                </c:pt>
                <c:pt idx="1">
                  <c:v>-5.573814285378254</c:v>
                </c:pt>
                <c:pt idx="2">
                  <c:v>-1.8871915729255233</c:v>
                </c:pt>
                <c:pt idx="3">
                  <c:v>-0.78056894914336639</c:v>
                </c:pt>
                <c:pt idx="4">
                  <c:v>-1.937326793055629</c:v>
                </c:pt>
                <c:pt idx="5">
                  <c:v>-1.1379341099152851</c:v>
                </c:pt>
                <c:pt idx="6">
                  <c:v>-0.86378841839055154</c:v>
                </c:pt>
                <c:pt idx="7">
                  <c:v>-0.59289465431377286</c:v>
                </c:pt>
                <c:pt idx="8">
                  <c:v>-0.46117642251250585</c:v>
                </c:pt>
              </c:numCache>
            </c:numRef>
          </c:val>
          <c:extLst>
            <c:ext xmlns:c15="http://schemas.microsoft.com/office/drawing/2012/chart" uri="{02D57815-91ED-43cb-92C2-25804820EDAC}">
              <c15:filteredCategoryTitle>
                <c15:cat>
                  <c:strRef>
                    <c:extLst>
                      <c:ext uri="{02D57815-91ED-43cb-92C2-25804820EDAC}">
                        <c15:formulaRef>
                          <c15:sqref>[228]Figure1!#REF!</c15:sqref>
                        </c15:formulaRef>
                      </c:ext>
                    </c:extLst>
                    <c:strCache>
                      <c:ptCount val="1"/>
                      <c:pt idx="0">
                        <c:v>#REF!</c:v>
                      </c:pt>
                    </c:strCache>
                  </c:strRef>
                </c15:cat>
              </c15:filteredCategoryTitle>
            </c:ext>
            <c:ext xmlns:c16="http://schemas.microsoft.com/office/drawing/2014/chart" uri="{C3380CC4-5D6E-409C-BE32-E72D297353CC}">
              <c16:uniqueId val="{00000001-7C41-46DC-81E9-64FB02394620}"/>
            </c:ext>
          </c:extLst>
        </c:ser>
        <c:dLbls>
          <c:showLegendKey val="0"/>
          <c:showVal val="0"/>
          <c:showCatName val="0"/>
          <c:showSerName val="0"/>
          <c:showPercent val="0"/>
          <c:showBubbleSize val="0"/>
        </c:dLbls>
        <c:gapWidth val="150"/>
        <c:axId val="935562496"/>
        <c:axId val="938717200"/>
      </c:barChart>
      <c:lineChart>
        <c:grouping val="standard"/>
        <c:varyColors val="0"/>
        <c:ser>
          <c:idx val="1"/>
          <c:order val="2"/>
          <c:tx>
            <c:v>Gross debt (right scale, all EMs)</c:v>
          </c:tx>
          <c:spPr>
            <a:ln w="28575" cap="rnd">
              <a:solidFill>
                <a:srgbClr val="7030A0"/>
              </a:solidFill>
              <a:round/>
            </a:ln>
            <a:effectLst/>
          </c:spPr>
          <c:marker>
            <c:symbol val="none"/>
          </c:marker>
          <c:val>
            <c:numRef>
              <c:f>'Figure 1.4'!$C$36:$K$36</c:f>
              <c:numCache>
                <c:formatCode>0.0</c:formatCode>
                <c:ptCount val="9"/>
                <c:pt idx="0">
                  <c:v>56.575253372912286</c:v>
                </c:pt>
                <c:pt idx="1">
                  <c:v>66.651065416919863</c:v>
                </c:pt>
                <c:pt idx="2">
                  <c:v>65.889926544521671</c:v>
                </c:pt>
                <c:pt idx="3">
                  <c:v>66.505375562879735</c:v>
                </c:pt>
                <c:pt idx="4">
                  <c:v>69.685866861626408</c:v>
                </c:pt>
                <c:pt idx="5">
                  <c:v>72.235946718663826</c:v>
                </c:pt>
                <c:pt idx="6">
                  <c:v>74.913709908028395</c:v>
                </c:pt>
                <c:pt idx="7">
                  <c:v>77.323512533081725</c:v>
                </c:pt>
                <c:pt idx="8">
                  <c:v>79.609070637521285</c:v>
                </c:pt>
              </c:numCache>
            </c:numRef>
          </c:val>
          <c:smooth val="0"/>
          <c:extLst>
            <c:ext xmlns:c16="http://schemas.microsoft.com/office/drawing/2014/chart" uri="{C3380CC4-5D6E-409C-BE32-E72D297353CC}">
              <c16:uniqueId val="{00000002-7C41-46DC-81E9-64FB02394620}"/>
            </c:ext>
          </c:extLst>
        </c:ser>
        <c:ser>
          <c:idx val="2"/>
          <c:order val="3"/>
          <c:tx>
            <c:v>Gross debt (right scale, excl. China)</c:v>
          </c:tx>
          <c:spPr>
            <a:ln w="19050" cap="rnd">
              <a:solidFill>
                <a:srgbClr val="7030A0"/>
              </a:solidFill>
              <a:prstDash val="dash"/>
              <a:round/>
            </a:ln>
            <a:effectLst/>
          </c:spPr>
          <c:marker>
            <c:symbol val="none"/>
          </c:marker>
          <c:val>
            <c:numRef>
              <c:f>'Figure 1.4'!$C$38:$K$38</c:f>
              <c:numCache>
                <c:formatCode>0.0</c:formatCode>
                <c:ptCount val="9"/>
                <c:pt idx="0">
                  <c:v>52.574383697630267</c:v>
                </c:pt>
                <c:pt idx="1">
                  <c:v>62.297524577097555</c:v>
                </c:pt>
                <c:pt idx="2">
                  <c:v>59.371003948786495</c:v>
                </c:pt>
                <c:pt idx="3">
                  <c:v>56.21655068751032</c:v>
                </c:pt>
                <c:pt idx="4">
                  <c:v>57.30581094981568</c:v>
                </c:pt>
                <c:pt idx="5">
                  <c:v>57.698179888499141</c:v>
                </c:pt>
                <c:pt idx="6">
                  <c:v>58.186937733078423</c:v>
                </c:pt>
                <c:pt idx="7">
                  <c:v>58.445019440857081</c:v>
                </c:pt>
                <c:pt idx="8">
                  <c:v>58.622604190166371</c:v>
                </c:pt>
              </c:numCache>
            </c:numRef>
          </c:val>
          <c:smooth val="0"/>
          <c:extLst>
            <c:ext xmlns:c16="http://schemas.microsoft.com/office/drawing/2014/chart" uri="{C3380CC4-5D6E-409C-BE32-E72D297353CC}">
              <c16:uniqueId val="{00000003-7C41-46DC-81E9-64FB02394620}"/>
            </c:ext>
          </c:extLst>
        </c:ser>
        <c:dLbls>
          <c:showLegendKey val="0"/>
          <c:showVal val="0"/>
          <c:showCatName val="0"/>
          <c:showSerName val="0"/>
          <c:showPercent val="0"/>
          <c:showBubbleSize val="0"/>
        </c:dLbls>
        <c:marker val="1"/>
        <c:smooth val="0"/>
        <c:axId val="825638320"/>
        <c:axId val="648390608"/>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lang="en-US"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8717200"/>
        <c:crosses val="autoZero"/>
        <c:auto val="1"/>
        <c:lblAlgn val="ctr"/>
        <c:lblOffset val="100"/>
        <c:noMultiLvlLbl val="0"/>
      </c:catAx>
      <c:valAx>
        <c:axId val="938717200"/>
        <c:scaling>
          <c:orientation val="minMax"/>
          <c:max val="8"/>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5562496"/>
        <c:crosses val="autoZero"/>
        <c:crossBetween val="between"/>
        <c:majorUnit val="2"/>
      </c:valAx>
      <c:valAx>
        <c:axId val="648390608"/>
        <c:scaling>
          <c:orientation val="minMax"/>
          <c:max val="1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825638320"/>
        <c:crosses val="max"/>
        <c:crossBetween val="between"/>
      </c:valAx>
      <c:catAx>
        <c:axId val="825638320"/>
        <c:scaling>
          <c:orientation val="minMax"/>
        </c:scaling>
        <c:delete val="1"/>
        <c:axPos val="b"/>
        <c:majorTickMark val="out"/>
        <c:minorTickMark val="none"/>
        <c:tickLblPos val="nextTo"/>
        <c:crossAx val="648390608"/>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20595771666566687"/>
          <c:y val="0.67248355892828515"/>
          <c:w val="0.70028743069183896"/>
          <c:h val="0.19481570317506625"/>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6440522052988"/>
          <c:y val="6.3615822336016009E-2"/>
          <c:w val="0.77867998014142159"/>
          <c:h val="0.78105074681365616"/>
        </c:manualLayout>
      </c:layout>
      <c:lineChart>
        <c:grouping val="standard"/>
        <c:varyColors val="0"/>
        <c:ser>
          <c:idx val="1"/>
          <c:order val="0"/>
          <c:tx>
            <c:strRef>
              <c:f>'Figure 2.11.'!$AC$7</c:f>
              <c:strCache>
                <c:ptCount val="1"/>
                <c:pt idx="0">
                  <c:v>Inflation (percentage points)</c:v>
                </c:pt>
              </c:strCache>
            </c:strRef>
          </c:tx>
          <c:spPr>
            <a:ln w="28575" cap="rnd">
              <a:solidFill>
                <a:schemeClr val="accent2">
                  <a:lumMod val="75000"/>
                </a:schemeClr>
              </a:solidFill>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2.11.'!$AC$8:$AC$20</c:f>
              <c:numCache>
                <c:formatCode>0.0</c:formatCode>
                <c:ptCount val="13"/>
                <c:pt idx="0">
                  <c:v>-0.52090815596430007</c:v>
                </c:pt>
                <c:pt idx="1">
                  <c:v>-0.39639762199826539</c:v>
                </c:pt>
                <c:pt idx="2">
                  <c:v>-0.30531903696485152</c:v>
                </c:pt>
                <c:pt idx="3">
                  <c:v>-0.23840924631698079</c:v>
                </c:pt>
                <c:pt idx="4">
                  <c:v>-0.18898747051978479</c:v>
                </c:pt>
                <c:pt idx="5">
                  <c:v>-0.152234412925393</c:v>
                </c:pt>
                <c:pt idx="6">
                  <c:v>-0.12467342735530509</c:v>
                </c:pt>
                <c:pt idx="7">
                  <c:v>-0.1037956384877611</c:v>
                </c:pt>
                <c:pt idx="8">
                  <c:v>-8.7790250244499643E-2</c:v>
                </c:pt>
                <c:pt idx="9">
                  <c:v>-7.5349516294208496E-2</c:v>
                </c:pt>
                <c:pt idx="10">
                  <c:v>-6.5528052662580938E-2</c:v>
                </c:pt>
                <c:pt idx="11">
                  <c:v>-5.7642095228531337E-2</c:v>
                </c:pt>
                <c:pt idx="12">
                  <c:v>-5.1196869668024239E-2</c:v>
                </c:pt>
              </c:numCache>
            </c:numRef>
          </c:val>
          <c:smooth val="0"/>
          <c:extLst>
            <c:ext xmlns:c16="http://schemas.microsoft.com/office/drawing/2014/chart" uri="{C3380CC4-5D6E-409C-BE32-E72D297353CC}">
              <c16:uniqueId val="{00000000-91FE-4D08-8C00-9042B7C34E66}"/>
            </c:ext>
          </c:extLst>
        </c:ser>
        <c:ser>
          <c:idx val="2"/>
          <c:order val="1"/>
          <c:tx>
            <c:strRef>
              <c:f>'Figure 2.11.'!$AD$7</c:f>
              <c:strCache>
                <c:ptCount val="1"/>
                <c:pt idx="0">
                  <c:v>Consumption</c:v>
                </c:pt>
              </c:strCache>
            </c:strRef>
          </c:tx>
          <c:spPr>
            <a:ln w="28575" cap="rnd">
              <a:solidFill>
                <a:schemeClr val="accent5">
                  <a:lumMod val="50000"/>
                </a:schemeClr>
              </a:solidFill>
              <a:prstDash val="lgDash"/>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2.11.'!$AD$8:$AD$20</c:f>
              <c:numCache>
                <c:formatCode>0.0</c:formatCode>
                <c:ptCount val="13"/>
                <c:pt idx="0">
                  <c:v>-0.73800270311987082</c:v>
                </c:pt>
                <c:pt idx="1">
                  <c:v>-0.53893644011299424</c:v>
                </c:pt>
                <c:pt idx="2">
                  <c:v>-0.39491338777861801</c:v>
                </c:pt>
                <c:pt idx="3">
                  <c:v>-0.29061527001471132</c:v>
                </c:pt>
                <c:pt idx="4">
                  <c:v>-0.2149961587455981</c:v>
                </c:pt>
                <c:pt idx="5">
                  <c:v>-0.16008553494280861</c:v>
                </c:pt>
                <c:pt idx="6">
                  <c:v>-0.1201353590636261</c:v>
                </c:pt>
                <c:pt idx="7">
                  <c:v>-9.0996861453430125E-2</c:v>
                </c:pt>
                <c:pt idx="8">
                  <c:v>-6.9678133104011442E-2</c:v>
                </c:pt>
                <c:pt idx="9">
                  <c:v>-5.4022019300799459E-2</c:v>
                </c:pt>
                <c:pt idx="10">
                  <c:v>-4.2469368323091131E-2</c:v>
                </c:pt>
                <c:pt idx="11">
                  <c:v>-3.3892458694806102E-2</c:v>
                </c:pt>
                <c:pt idx="12">
                  <c:v>-2.747835300034257E-2</c:v>
                </c:pt>
              </c:numCache>
            </c:numRef>
          </c:val>
          <c:smooth val="0"/>
          <c:extLst>
            <c:ext xmlns:c16="http://schemas.microsoft.com/office/drawing/2014/chart" uri="{C3380CC4-5D6E-409C-BE32-E72D297353CC}">
              <c16:uniqueId val="{00000001-91FE-4D08-8C00-9042B7C34E66}"/>
            </c:ext>
          </c:extLst>
        </c:ser>
        <c:ser>
          <c:idx val="0"/>
          <c:order val="2"/>
          <c:tx>
            <c:strRef>
              <c:f>'Figure 2.11.'!$AL$7</c:f>
              <c:strCache>
                <c:ptCount val="1"/>
                <c:pt idx="0">
                  <c:v>GDP</c:v>
                </c:pt>
              </c:strCache>
            </c:strRef>
          </c:tx>
          <c:spPr>
            <a:ln w="28575" cap="rnd">
              <a:solidFill>
                <a:schemeClr val="tx1"/>
              </a:solidFill>
              <a:prstDash val="sysDash"/>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2.11.'!$AL$8:$AL$20</c:f>
              <c:numCache>
                <c:formatCode>0.0</c:formatCode>
                <c:ptCount val="13"/>
                <c:pt idx="0">
                  <c:v>-0.52243011856472998</c:v>
                </c:pt>
                <c:pt idx="1">
                  <c:v>-0.38151150985802779</c:v>
                </c:pt>
                <c:pt idx="2">
                  <c:v>-0.27955787159994888</c:v>
                </c:pt>
                <c:pt idx="3">
                  <c:v>-0.20572543137698091</c:v>
                </c:pt>
                <c:pt idx="4">
                  <c:v>-0.15219480198598981</c:v>
                </c:pt>
                <c:pt idx="5">
                  <c:v>-0.1133236709127619</c:v>
                </c:pt>
                <c:pt idx="6">
                  <c:v>-8.5043013584125721E-2</c:v>
                </c:pt>
                <c:pt idx="7">
                  <c:v>-6.4415924812183362E-2</c:v>
                </c:pt>
                <c:pt idx="8">
                  <c:v>-4.9324438373772983E-2</c:v>
                </c:pt>
                <c:pt idx="9">
                  <c:v>-3.8241508697490108E-2</c:v>
                </c:pt>
                <c:pt idx="10">
                  <c:v>-3.0063415181428941E-2</c:v>
                </c:pt>
                <c:pt idx="11">
                  <c:v>-2.3991845748655261E-2</c:v>
                </c:pt>
                <c:pt idx="12">
                  <c:v>-1.9451323292424889E-2</c:v>
                </c:pt>
              </c:numCache>
            </c:numRef>
          </c:val>
          <c:smooth val="0"/>
          <c:extLst>
            <c:ext xmlns:c16="http://schemas.microsoft.com/office/drawing/2014/chart" uri="{C3380CC4-5D6E-409C-BE32-E72D297353CC}">
              <c16:uniqueId val="{00000002-91FE-4D08-8C00-9042B7C34E66}"/>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in val="-0.8"/>
        </c:scaling>
        <c:delete val="0"/>
        <c:axPos val="l"/>
        <c:numFmt formatCode="0.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2"/>
      </c:valAx>
      <c:spPr>
        <a:noFill/>
        <a:ln>
          <a:noFill/>
        </a:ln>
        <a:effectLst/>
      </c:spPr>
    </c:plotArea>
    <c:legend>
      <c:legendPos val="l"/>
      <c:layout>
        <c:manualLayout>
          <c:xMode val="edge"/>
          <c:yMode val="edge"/>
          <c:x val="0.31522828343252601"/>
          <c:y val="0.41485452864756434"/>
          <c:w val="0.66446087605961235"/>
          <c:h val="0.42604570935748165"/>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91193269891404"/>
          <c:y val="6.3615784453322638E-2"/>
          <c:w val="0.75871249362701032"/>
          <c:h val="0.78105074681365616"/>
        </c:manualLayout>
      </c:layout>
      <c:lineChart>
        <c:grouping val="standard"/>
        <c:varyColors val="0"/>
        <c:ser>
          <c:idx val="6"/>
          <c:order val="0"/>
          <c:tx>
            <c:strRef>
              <c:f>'Figure 2.11.'!$AK$7</c:f>
              <c:strCache>
                <c:ptCount val="1"/>
                <c:pt idx="0">
                  <c:v>99 (richest)</c:v>
                </c:pt>
              </c:strCache>
            </c:strRef>
          </c:tx>
          <c:spPr>
            <a:ln w="29210" cap="rnd">
              <a:solidFill>
                <a:srgbClr val="ED77EA"/>
              </a:solidFill>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2.11.'!$AK$8:$AK$20</c:f>
              <c:numCache>
                <c:formatCode>0.0</c:formatCode>
                <c:ptCount val="13"/>
                <c:pt idx="0">
                  <c:v>-0.50791968361955275</c:v>
                </c:pt>
                <c:pt idx="1">
                  <c:v>-0.3326976516338902</c:v>
                </c:pt>
                <c:pt idx="2">
                  <c:v>-0.21007873826361301</c:v>
                </c:pt>
                <c:pt idx="3">
                  <c:v>-0.1251245436925548</c:v>
                </c:pt>
                <c:pt idx="4">
                  <c:v>-6.7048723362913037E-2</c:v>
                </c:pt>
                <c:pt idx="5">
                  <c:v>-2.8072324746508118E-2</c:v>
                </c:pt>
                <c:pt idx="6">
                  <c:v>-2.5937025402016129E-3</c:v>
                </c:pt>
                <c:pt idx="7">
                  <c:v>1.341327284924408E-2</c:v>
                </c:pt>
                <c:pt idx="8">
                  <c:v>2.2835513198319269E-2</c:v>
                </c:pt>
                <c:pt idx="9">
                  <c:v>2.773683750677319E-2</c:v>
                </c:pt>
                <c:pt idx="10">
                  <c:v>2.9587013049813989E-2</c:v>
                </c:pt>
                <c:pt idx="11">
                  <c:v>2.9427700606978979E-2</c:v>
                </c:pt>
                <c:pt idx="12">
                  <c:v>2.799255510040494E-2</c:v>
                </c:pt>
              </c:numCache>
            </c:numRef>
          </c:val>
          <c:smooth val="0"/>
          <c:extLst>
            <c:ext xmlns:c16="http://schemas.microsoft.com/office/drawing/2014/chart" uri="{C3380CC4-5D6E-409C-BE32-E72D297353CC}">
              <c16:uniqueId val="{00000000-B39C-4AFA-BE54-CF6963BFBDDE}"/>
            </c:ext>
          </c:extLst>
        </c:ser>
        <c:ser>
          <c:idx val="5"/>
          <c:order val="1"/>
          <c:tx>
            <c:strRef>
              <c:f>'Figure 2.11.'!$AJ$7</c:f>
              <c:strCache>
                <c:ptCount val="1"/>
                <c:pt idx="0">
                  <c:v>90–100</c:v>
                </c:pt>
              </c:strCache>
            </c:strRef>
          </c:tx>
          <c:spPr>
            <a:ln w="28575" cap="rnd">
              <a:solidFill>
                <a:srgbClr val="331FF5"/>
              </a:solidFill>
              <a:prstDash val="lgDash"/>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2.11.'!$AJ$8:$AJ$20</c:f>
              <c:numCache>
                <c:formatCode>0.0</c:formatCode>
                <c:ptCount val="13"/>
                <c:pt idx="0">
                  <c:v>-0.57822546890598348</c:v>
                </c:pt>
                <c:pt idx="1">
                  <c:v>-0.39533872802693132</c:v>
                </c:pt>
                <c:pt idx="2">
                  <c:v>-0.26571750226484608</c:v>
                </c:pt>
                <c:pt idx="3">
                  <c:v>-0.1744060382555552</c:v>
                </c:pt>
                <c:pt idx="4">
                  <c:v>-0.11058696251870639</c:v>
                </c:pt>
                <c:pt idx="5">
                  <c:v>-6.6442521113653341E-2</c:v>
                </c:pt>
                <c:pt idx="6">
                  <c:v>-3.6328470103725752E-2</c:v>
                </c:pt>
                <c:pt idx="7">
                  <c:v>-1.6174978185675419E-2</c:v>
                </c:pt>
                <c:pt idx="8">
                  <c:v>-3.0520668416455432E-3</c:v>
                </c:pt>
                <c:pt idx="9">
                  <c:v>5.1454135627813039E-3</c:v>
                </c:pt>
                <c:pt idx="10">
                  <c:v>9.9261677182441062E-3</c:v>
                </c:pt>
                <c:pt idx="11">
                  <c:v>1.2368070977599659E-2</c:v>
                </c:pt>
                <c:pt idx="12">
                  <c:v>1.323814455744814E-2</c:v>
                </c:pt>
              </c:numCache>
            </c:numRef>
          </c:val>
          <c:smooth val="0"/>
          <c:extLst>
            <c:ext xmlns:c16="http://schemas.microsoft.com/office/drawing/2014/chart" uri="{C3380CC4-5D6E-409C-BE32-E72D297353CC}">
              <c16:uniqueId val="{00000001-B39C-4AFA-BE54-CF6963BFBDDE}"/>
            </c:ext>
          </c:extLst>
        </c:ser>
        <c:ser>
          <c:idx val="4"/>
          <c:order val="2"/>
          <c:tx>
            <c:strRef>
              <c:f>'Figure 2.11.'!$AI$7</c:f>
              <c:strCache>
                <c:ptCount val="1"/>
                <c:pt idx="0">
                  <c:v>65–90</c:v>
                </c:pt>
              </c:strCache>
            </c:strRef>
          </c:tx>
          <c:spPr>
            <a:ln w="28575" cap="rnd">
              <a:solidFill>
                <a:srgbClr val="5A99EC"/>
              </a:solidFill>
              <a:prstDash val="dashDot"/>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2.11.'!$AI$8:$AI$20</c:f>
              <c:numCache>
                <c:formatCode>0.0</c:formatCode>
                <c:ptCount val="13"/>
                <c:pt idx="0">
                  <c:v>-0.65870100851648461</c:v>
                </c:pt>
                <c:pt idx="1">
                  <c:v>-0.46836536582930749</c:v>
                </c:pt>
                <c:pt idx="2">
                  <c:v>-0.33182241655434042</c:v>
                </c:pt>
                <c:pt idx="3">
                  <c:v>-0.23409676041288871</c:v>
                </c:pt>
                <c:pt idx="4">
                  <c:v>-0.16435010457083071</c:v>
                </c:pt>
                <c:pt idx="5">
                  <c:v>-0.1147429750933074</c:v>
                </c:pt>
                <c:pt idx="6">
                  <c:v>-7.9608739818452262E-2</c:v>
                </c:pt>
                <c:pt idx="7">
                  <c:v>-5.4854582342920691E-2</c:v>
                </c:pt>
                <c:pt idx="8">
                  <c:v>-3.752707219029016E-2</c:v>
                </c:pt>
                <c:pt idx="9">
                  <c:v>-2.5497325012281861E-2</c:v>
                </c:pt>
                <c:pt idx="10">
                  <c:v>-1.7232840455273391E-2</c:v>
                </c:pt>
                <c:pt idx="11">
                  <c:v>-1.1632118572721209E-2</c:v>
                </c:pt>
                <c:pt idx="12">
                  <c:v>-7.9049158104442796E-3</c:v>
                </c:pt>
              </c:numCache>
            </c:numRef>
          </c:val>
          <c:smooth val="0"/>
          <c:extLst>
            <c:ext xmlns:c16="http://schemas.microsoft.com/office/drawing/2014/chart" uri="{C3380CC4-5D6E-409C-BE32-E72D297353CC}">
              <c16:uniqueId val="{00000002-B39C-4AFA-BE54-CF6963BFBDDE}"/>
            </c:ext>
          </c:extLst>
        </c:ser>
        <c:ser>
          <c:idx val="3"/>
          <c:order val="3"/>
          <c:tx>
            <c:strRef>
              <c:f>'Figure 2.11.'!$AH$7</c:f>
              <c:strCache>
                <c:ptCount val="1"/>
                <c:pt idx="0">
                  <c:v>35–65</c:v>
                </c:pt>
              </c:strCache>
            </c:strRef>
          </c:tx>
          <c:spPr>
            <a:ln w="28575" cap="rnd">
              <a:solidFill>
                <a:srgbClr val="29EBCF"/>
              </a:solidFill>
              <a:prstDash val="sysDash"/>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2.11.'!$AH$8:$AH$20</c:f>
              <c:numCache>
                <c:formatCode>0.0</c:formatCode>
                <c:ptCount val="13"/>
                <c:pt idx="0">
                  <c:v>-0.77332217184440855</c:v>
                </c:pt>
                <c:pt idx="1">
                  <c:v>-0.5741014244467435</c:v>
                </c:pt>
                <c:pt idx="2">
                  <c:v>-0.42949883181510118</c:v>
                </c:pt>
                <c:pt idx="3">
                  <c:v>-0.32419618638546288</c:v>
                </c:pt>
                <c:pt idx="4">
                  <c:v>-0.24721086477891741</c:v>
                </c:pt>
                <c:pt idx="5">
                  <c:v>-0.19066191847528169</c:v>
                </c:pt>
                <c:pt idx="6">
                  <c:v>-0.14889095080844481</c:v>
                </c:pt>
                <c:pt idx="7">
                  <c:v>-0.11782999670351969</c:v>
                </c:pt>
                <c:pt idx="8">
                  <c:v>-9.4552631688805497E-2</c:v>
                </c:pt>
                <c:pt idx="9">
                  <c:v>-7.6950797121486919E-2</c:v>
                </c:pt>
                <c:pt idx="10">
                  <c:v>-6.3504032294910057E-2</c:v>
                </c:pt>
                <c:pt idx="11">
                  <c:v>-5.3113013111533269E-2</c:v>
                </c:pt>
                <c:pt idx="12">
                  <c:v>-4.4981814160704653E-2</c:v>
                </c:pt>
              </c:numCache>
            </c:numRef>
          </c:val>
          <c:smooth val="0"/>
          <c:extLst>
            <c:ext xmlns:c16="http://schemas.microsoft.com/office/drawing/2014/chart" uri="{C3380CC4-5D6E-409C-BE32-E72D297353CC}">
              <c16:uniqueId val="{00000003-B39C-4AFA-BE54-CF6963BFBDDE}"/>
            </c:ext>
          </c:extLst>
        </c:ser>
        <c:ser>
          <c:idx val="0"/>
          <c:order val="4"/>
          <c:tx>
            <c:strRef>
              <c:f>'Figure 2.11.'!$AG$7</c:f>
              <c:strCache>
                <c:ptCount val="1"/>
                <c:pt idx="0">
                  <c:v>10–35</c:v>
                </c:pt>
              </c:strCache>
            </c:strRef>
          </c:tx>
          <c:spPr>
            <a:ln w="28575" cap="rnd">
              <a:solidFill>
                <a:srgbClr val="669900"/>
              </a:solidFill>
              <a:prstDash val="dashDot"/>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2.11.'!$AG$8:$AG$20</c:f>
              <c:numCache>
                <c:formatCode>0.0</c:formatCode>
                <c:ptCount val="13"/>
                <c:pt idx="0">
                  <c:v>-0.90277029739365788</c:v>
                </c:pt>
                <c:pt idx="1">
                  <c:v>-0.68557238024796241</c:v>
                </c:pt>
                <c:pt idx="2">
                  <c:v>-0.52529942577871103</c:v>
                </c:pt>
                <c:pt idx="3">
                  <c:v>-0.40639863555380279</c:v>
                </c:pt>
                <c:pt idx="4">
                  <c:v>-0.31764277775571442</c:v>
                </c:pt>
                <c:pt idx="5">
                  <c:v>-0.25090023067064687</c:v>
                </c:pt>
                <c:pt idx="6">
                  <c:v>-0.20029821594564659</c:v>
                </c:pt>
                <c:pt idx="7">
                  <c:v>-0.16157512063496729</c:v>
                </c:pt>
                <c:pt idx="8">
                  <c:v>-0.13164661802108971</c:v>
                </c:pt>
                <c:pt idx="9">
                  <c:v>-0.1082716616806787</c:v>
                </c:pt>
                <c:pt idx="10">
                  <c:v>-8.9818086914115927E-2</c:v>
                </c:pt>
                <c:pt idx="11">
                  <c:v>-7.5074791726713982E-2</c:v>
                </c:pt>
                <c:pt idx="12">
                  <c:v>-6.3163918625732368E-2</c:v>
                </c:pt>
              </c:numCache>
            </c:numRef>
          </c:val>
          <c:smooth val="0"/>
          <c:extLst>
            <c:ext xmlns:c16="http://schemas.microsoft.com/office/drawing/2014/chart" uri="{C3380CC4-5D6E-409C-BE32-E72D297353CC}">
              <c16:uniqueId val="{00000004-B39C-4AFA-BE54-CF6963BFBDDE}"/>
            </c:ext>
          </c:extLst>
        </c:ser>
        <c:ser>
          <c:idx val="2"/>
          <c:order val="5"/>
          <c:tx>
            <c:strRef>
              <c:f>'Figure 2.11.'!$AF$7</c:f>
              <c:strCache>
                <c:ptCount val="1"/>
                <c:pt idx="0">
                  <c:v>1–10</c:v>
                </c:pt>
              </c:strCache>
            </c:strRef>
          </c:tx>
          <c:spPr>
            <a:ln w="28575" cap="rnd">
              <a:solidFill>
                <a:srgbClr val="BE8C00"/>
              </a:solidFill>
              <a:prstDash val="lgDash"/>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2.11.'!$AF$8:$AF$20</c:f>
              <c:numCache>
                <c:formatCode>0.0</c:formatCode>
                <c:ptCount val="13"/>
                <c:pt idx="0">
                  <c:v>-1.0186141882762909</c:v>
                </c:pt>
                <c:pt idx="1">
                  <c:v>-0.77426343469693737</c:v>
                </c:pt>
                <c:pt idx="2">
                  <c:v>-0.59368108192355107</c:v>
                </c:pt>
                <c:pt idx="3">
                  <c:v>-0.45945446947411939</c:v>
                </c:pt>
                <c:pt idx="4">
                  <c:v>-0.35902553217140443</c:v>
                </c:pt>
                <c:pt idx="5">
                  <c:v>-0.28331298416727191</c:v>
                </c:pt>
                <c:pt idx="6">
                  <c:v>-0.22573571520503649</c:v>
                </c:pt>
                <c:pt idx="7">
                  <c:v>-0.1815189336799328</c:v>
                </c:pt>
                <c:pt idx="8">
                  <c:v>-0.14719900337982941</c:v>
                </c:pt>
                <c:pt idx="9">
                  <c:v>-0.1202882233105599</c:v>
                </c:pt>
                <c:pt idx="10">
                  <c:v>-9.8927084862488066E-2</c:v>
                </c:pt>
                <c:pt idx="11">
                  <c:v>-8.1774237010865169E-2</c:v>
                </c:pt>
                <c:pt idx="12">
                  <c:v>-6.7840126981881896E-2</c:v>
                </c:pt>
              </c:numCache>
            </c:numRef>
          </c:val>
          <c:smooth val="0"/>
          <c:extLst>
            <c:ext xmlns:c16="http://schemas.microsoft.com/office/drawing/2014/chart" uri="{C3380CC4-5D6E-409C-BE32-E72D297353CC}">
              <c16:uniqueId val="{00000005-B39C-4AFA-BE54-CF6963BFBDDE}"/>
            </c:ext>
          </c:extLst>
        </c:ser>
        <c:ser>
          <c:idx val="1"/>
          <c:order val="6"/>
          <c:tx>
            <c:strRef>
              <c:f>'Figure 2.11.'!$AE$7</c:f>
              <c:strCache>
                <c:ptCount val="1"/>
                <c:pt idx="0">
                  <c:v>1 (poorest)</c:v>
                </c:pt>
              </c:strCache>
            </c:strRef>
          </c:tx>
          <c:spPr>
            <a:ln w="29210" cap="rnd">
              <a:solidFill>
                <a:srgbClr val="BE0000"/>
              </a:solidFill>
              <a:round/>
            </a:ln>
            <a:effectLst/>
          </c:spPr>
          <c:marker>
            <c:symbol val="none"/>
          </c:marker>
          <c:cat>
            <c:numRef>
              <c:f>'Figure 2.11.'!$AA$8:$AA$20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2.11.'!$AE$8:$AE$20</c:f>
              <c:numCache>
                <c:formatCode>0.0</c:formatCode>
                <c:ptCount val="13"/>
                <c:pt idx="0">
                  <c:v>-1.1156224931591541</c:v>
                </c:pt>
                <c:pt idx="1">
                  <c:v>-0.84565151607277189</c:v>
                </c:pt>
                <c:pt idx="2">
                  <c:v>-0.64684576678268502</c:v>
                </c:pt>
                <c:pt idx="3">
                  <c:v>-0.49965766489718061</c:v>
                </c:pt>
                <c:pt idx="4">
                  <c:v>-0.38998729354257339</c:v>
                </c:pt>
                <c:pt idx="5">
                  <c:v>-0.3076491817079493</c:v>
                </c:pt>
                <c:pt idx="6">
                  <c:v>-0.24529219079681</c:v>
                </c:pt>
                <c:pt idx="7">
                  <c:v>-0.19758504760261181</c:v>
                </c:pt>
                <c:pt idx="8">
                  <c:v>-0.16067509192664181</c:v>
                </c:pt>
                <c:pt idx="9">
                  <c:v>-0.13179413046534211</c:v>
                </c:pt>
                <c:pt idx="10">
                  <c:v>-0.10888796527737329</c:v>
                </c:pt>
                <c:pt idx="11">
                  <c:v>-9.0489458635822292E-2</c:v>
                </c:pt>
                <c:pt idx="12">
                  <c:v>-7.5512292711202203E-2</c:v>
                </c:pt>
              </c:numCache>
            </c:numRef>
          </c:val>
          <c:smooth val="0"/>
          <c:extLst>
            <c:ext xmlns:c16="http://schemas.microsoft.com/office/drawing/2014/chart" uri="{C3380CC4-5D6E-409C-BE32-E72D297353CC}">
              <c16:uniqueId val="{00000006-B39C-4AFA-BE54-CF6963BFBDDE}"/>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0"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tickLblSkip val="1"/>
        <c:noMultiLvlLbl val="0"/>
      </c:catAx>
      <c:valAx>
        <c:axId val="1275596464"/>
        <c:scaling>
          <c:orientation val="minMax"/>
          <c:max val="0.9"/>
          <c:min val="-1.8"/>
        </c:scaling>
        <c:delete val="0"/>
        <c:axPos val="l"/>
        <c:numFmt formatCode="0.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30000000000000004"/>
      </c:valAx>
      <c:spPr>
        <a:noFill/>
        <a:ln>
          <a:noFill/>
        </a:ln>
        <a:effectLst/>
      </c:spPr>
    </c:plotArea>
    <c:legend>
      <c:legendPos val="l"/>
      <c:layout>
        <c:manualLayout>
          <c:xMode val="edge"/>
          <c:yMode val="edge"/>
          <c:x val="0.18234765788317636"/>
          <c:y val="3.1569320458665978E-2"/>
          <c:w val="0.7652726142150873"/>
          <c:h val="0.2642290126960547"/>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03089698951728"/>
          <c:y val="6.3615876140482433E-2"/>
          <c:w val="0.79388313649716369"/>
          <c:h val="0.78105074681365616"/>
        </c:manualLayout>
      </c:layout>
      <c:lineChart>
        <c:grouping val="standard"/>
        <c:varyColors val="0"/>
        <c:ser>
          <c:idx val="9"/>
          <c:order val="0"/>
          <c:tx>
            <c:strRef>
              <c:f>'Figure 2.11.'!$AM$39</c:f>
              <c:strCache>
                <c:ptCount val="1"/>
                <c:pt idx="0">
                  <c:v>99 (richest)</c:v>
                </c:pt>
              </c:strCache>
            </c:strRef>
          </c:tx>
          <c:spPr>
            <a:ln w="29210" cap="rnd">
              <a:solidFill>
                <a:srgbClr val="ED77EA"/>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2.11.'!$AM$40:$AM$52</c:f>
              <c:numCache>
                <c:formatCode>0.0</c:formatCode>
                <c:ptCount val="13"/>
                <c:pt idx="0">
                  <c:v>6.8184622184336116E-2</c:v>
                </c:pt>
                <c:pt idx="1">
                  <c:v>2.1497923168584031E-2</c:v>
                </c:pt>
                <c:pt idx="2">
                  <c:v>-6.7009365404461611E-3</c:v>
                </c:pt>
                <c:pt idx="3">
                  <c:v>-2.3003868908344091E-2</c:v>
                </c:pt>
                <c:pt idx="4">
                  <c:v>-3.1699142820464751E-2</c:v>
                </c:pt>
                <c:pt idx="5">
                  <c:v>-3.5579287663135707E-2</c:v>
                </c:pt>
                <c:pt idx="6">
                  <c:v>-3.6462184750031927E-2</c:v>
                </c:pt>
                <c:pt idx="7">
                  <c:v>-3.5529111309882407E-2</c:v>
                </c:pt>
                <c:pt idx="8">
                  <c:v>-3.3544856359250447E-2</c:v>
                </c:pt>
                <c:pt idx="9">
                  <c:v>-3.1001398586673799E-2</c:v>
                </c:pt>
                <c:pt idx="10">
                  <c:v>-2.8212136656458681E-2</c:v>
                </c:pt>
                <c:pt idx="11">
                  <c:v>-2.5373353078922571E-2</c:v>
                </c:pt>
                <c:pt idx="12">
                  <c:v>-2.2604935296497281E-2</c:v>
                </c:pt>
              </c:numCache>
            </c:numRef>
          </c:val>
          <c:smooth val="0"/>
          <c:extLst>
            <c:ext xmlns:c16="http://schemas.microsoft.com/office/drawing/2014/chart" uri="{C3380CC4-5D6E-409C-BE32-E72D297353CC}">
              <c16:uniqueId val="{00000000-6B98-4BF2-8672-64196CC092CB}"/>
            </c:ext>
          </c:extLst>
        </c:ser>
        <c:ser>
          <c:idx val="8"/>
          <c:order val="1"/>
          <c:tx>
            <c:strRef>
              <c:f>'Figure 2.11.'!$AL$39</c:f>
              <c:strCache>
                <c:ptCount val="1"/>
                <c:pt idx="0">
                  <c:v>90–100</c:v>
                </c:pt>
              </c:strCache>
            </c:strRef>
          </c:tx>
          <c:spPr>
            <a:ln w="28575" cap="rnd">
              <a:solidFill>
                <a:srgbClr val="331FF5"/>
              </a:solidFill>
              <a:prstDash val="lg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2.11.'!$AL$40:$AL$52</c:f>
              <c:numCache>
                <c:formatCode>0.0</c:formatCode>
                <c:ptCount val="13"/>
                <c:pt idx="0">
                  <c:v>6.5808980435403064E-2</c:v>
                </c:pt>
                <c:pt idx="1">
                  <c:v>2.01105416341485E-2</c:v>
                </c:pt>
                <c:pt idx="2">
                  <c:v>-7.9023782616829928E-3</c:v>
                </c:pt>
                <c:pt idx="3">
                  <c:v>-2.44294719425136E-2</c:v>
                </c:pt>
                <c:pt idx="4">
                  <c:v>-3.3522135133120537E-2</c:v>
                </c:pt>
                <c:pt idx="5">
                  <c:v>-3.7836564110586078E-2</c:v>
                </c:pt>
                <c:pt idx="6">
                  <c:v>-3.9117862558484047E-2</c:v>
                </c:pt>
                <c:pt idx="7">
                  <c:v>-3.8513505959410513E-2</c:v>
                </c:pt>
                <c:pt idx="8">
                  <c:v>-3.6777478919671792E-2</c:v>
                </c:pt>
                <c:pt idx="9">
                  <c:v>-3.4403735044575487E-2</c:v>
                </c:pt>
                <c:pt idx="10">
                  <c:v>-3.171407683852507E-2</c:v>
                </c:pt>
                <c:pt idx="11">
                  <c:v>-2.891578251548111E-2</c:v>
                </c:pt>
                <c:pt idx="12">
                  <c:v>-2.6140127411864819E-2</c:v>
                </c:pt>
              </c:numCache>
            </c:numRef>
          </c:val>
          <c:smooth val="0"/>
          <c:extLst>
            <c:ext xmlns:c16="http://schemas.microsoft.com/office/drawing/2014/chart" uri="{C3380CC4-5D6E-409C-BE32-E72D297353CC}">
              <c16:uniqueId val="{00000001-6B98-4BF2-8672-64196CC092CB}"/>
            </c:ext>
          </c:extLst>
        </c:ser>
        <c:ser>
          <c:idx val="7"/>
          <c:order val="2"/>
          <c:tx>
            <c:strRef>
              <c:f>'Figure 2.11.'!$AK$39</c:f>
              <c:strCache>
                <c:ptCount val="1"/>
                <c:pt idx="0">
                  <c:v>65–90</c:v>
                </c:pt>
              </c:strCache>
            </c:strRef>
          </c:tx>
          <c:spPr>
            <a:ln w="28575" cap="rnd">
              <a:solidFill>
                <a:srgbClr val="2D7DE7"/>
              </a:solidFill>
              <a:prstDash val="lgDashDot"/>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2.11.'!$AJ$40:$AJ$52</c:f>
              <c:numCache>
                <c:formatCode>0.0</c:formatCode>
                <c:ptCount val="13"/>
                <c:pt idx="0">
                  <c:v>-0.26655961021691299</c:v>
                </c:pt>
                <c:pt idx="1">
                  <c:v>-0.28000660413163719</c:v>
                </c:pt>
                <c:pt idx="2">
                  <c:v>-0.25668964810222888</c:v>
                </c:pt>
                <c:pt idx="3">
                  <c:v>-0.21952923416594791</c:v>
                </c:pt>
                <c:pt idx="4">
                  <c:v>-0.18019855058649931</c:v>
                </c:pt>
                <c:pt idx="5">
                  <c:v>-0.14411457819804041</c:v>
                </c:pt>
                <c:pt idx="6">
                  <c:v>-0.1133148895542741</c:v>
                </c:pt>
                <c:pt idx="7">
                  <c:v>-8.8132456474742188E-2</c:v>
                </c:pt>
                <c:pt idx="8">
                  <c:v>-6.8106756716447364E-2</c:v>
                </c:pt>
                <c:pt idx="9">
                  <c:v>-5.2479600877965007E-2</c:v>
                </c:pt>
                <c:pt idx="10">
                  <c:v>-4.043988693168124E-2</c:v>
                </c:pt>
                <c:pt idx="11">
                  <c:v>-3.1243162655600981E-2</c:v>
                </c:pt>
                <c:pt idx="12">
                  <c:v>-2.425349031908559E-2</c:v>
                </c:pt>
              </c:numCache>
            </c:numRef>
          </c:val>
          <c:smooth val="0"/>
          <c:extLst>
            <c:ext xmlns:c16="http://schemas.microsoft.com/office/drawing/2014/chart" uri="{C3380CC4-5D6E-409C-BE32-E72D297353CC}">
              <c16:uniqueId val="{00000002-6B98-4BF2-8672-64196CC092CB}"/>
            </c:ext>
          </c:extLst>
        </c:ser>
        <c:ser>
          <c:idx val="1"/>
          <c:order val="3"/>
          <c:tx>
            <c:strRef>
              <c:f>'Figure 2.11.'!$AJ$39</c:f>
              <c:strCache>
                <c:ptCount val="1"/>
                <c:pt idx="0">
                  <c:v>35–65</c:v>
                </c:pt>
              </c:strCache>
            </c:strRef>
          </c:tx>
          <c:spPr>
            <a:ln w="28575" cap="rnd">
              <a:solidFill>
                <a:srgbClr val="29EBCF"/>
              </a:solidFill>
              <a:prstDash val="sys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2.11.'!$AJ$40:$AJ$52</c:f>
              <c:numCache>
                <c:formatCode>0.0</c:formatCode>
                <c:ptCount val="13"/>
                <c:pt idx="0">
                  <c:v>-0.26655961021691299</c:v>
                </c:pt>
                <c:pt idx="1">
                  <c:v>-0.28000660413163719</c:v>
                </c:pt>
                <c:pt idx="2">
                  <c:v>-0.25668964810222888</c:v>
                </c:pt>
                <c:pt idx="3">
                  <c:v>-0.21952923416594791</c:v>
                </c:pt>
                <c:pt idx="4">
                  <c:v>-0.18019855058649931</c:v>
                </c:pt>
                <c:pt idx="5">
                  <c:v>-0.14411457819804041</c:v>
                </c:pt>
                <c:pt idx="6">
                  <c:v>-0.1133148895542741</c:v>
                </c:pt>
                <c:pt idx="7">
                  <c:v>-8.8132456474742188E-2</c:v>
                </c:pt>
                <c:pt idx="8">
                  <c:v>-6.8106756716447364E-2</c:v>
                </c:pt>
                <c:pt idx="9">
                  <c:v>-5.2479600877965007E-2</c:v>
                </c:pt>
                <c:pt idx="10">
                  <c:v>-4.043988693168124E-2</c:v>
                </c:pt>
                <c:pt idx="11">
                  <c:v>-3.1243162655600981E-2</c:v>
                </c:pt>
                <c:pt idx="12">
                  <c:v>-2.425349031908559E-2</c:v>
                </c:pt>
              </c:numCache>
            </c:numRef>
          </c:val>
          <c:smooth val="0"/>
          <c:extLst>
            <c:ext xmlns:c16="http://schemas.microsoft.com/office/drawing/2014/chart" uri="{C3380CC4-5D6E-409C-BE32-E72D297353CC}">
              <c16:uniqueId val="{00000003-6B98-4BF2-8672-64196CC092CB}"/>
            </c:ext>
          </c:extLst>
        </c:ser>
        <c:ser>
          <c:idx val="2"/>
          <c:order val="4"/>
          <c:tx>
            <c:strRef>
              <c:f>'Figure 2.11.'!$AI$39</c:f>
              <c:strCache>
                <c:ptCount val="1"/>
                <c:pt idx="0">
                  <c:v>10–35</c:v>
                </c:pt>
              </c:strCache>
            </c:strRef>
          </c:tx>
          <c:spPr>
            <a:ln w="28575" cap="rnd">
              <a:solidFill>
                <a:srgbClr val="669900"/>
              </a:solidFill>
              <a:prstDash val="lgDashDot"/>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2.11.'!$AI$40:$AI$52</c:f>
              <c:numCache>
                <c:formatCode>0.0</c:formatCode>
                <c:ptCount val="13"/>
                <c:pt idx="0">
                  <c:v>-0.102884523399027</c:v>
                </c:pt>
                <c:pt idx="1">
                  <c:v>-9.1990161149378372E-2</c:v>
                </c:pt>
                <c:pt idx="2">
                  <c:v>-7.3907493148518258E-2</c:v>
                </c:pt>
                <c:pt idx="3">
                  <c:v>-5.457361680448114E-2</c:v>
                </c:pt>
                <c:pt idx="4">
                  <c:v>-3.7184271870293321E-2</c:v>
                </c:pt>
                <c:pt idx="5">
                  <c:v>-2.299816645500468E-2</c:v>
                </c:pt>
                <c:pt idx="6">
                  <c:v>-1.2220708414237381E-2</c:v>
                </c:pt>
                <c:pt idx="7">
                  <c:v>-4.5125477658762266E-3</c:v>
                </c:pt>
                <c:pt idx="8">
                  <c:v>6.8024808358779396E-4</c:v>
                </c:pt>
                <c:pt idx="9">
                  <c:v>3.9005847671632009E-3</c:v>
                </c:pt>
                <c:pt idx="10">
                  <c:v>5.6804284485629103E-3</c:v>
                </c:pt>
                <c:pt idx="11">
                  <c:v>6.4255902849341476E-3</c:v>
                </c:pt>
                <c:pt idx="12">
                  <c:v>6.4732558563047092E-3</c:v>
                </c:pt>
              </c:numCache>
            </c:numRef>
          </c:val>
          <c:smooth val="0"/>
          <c:extLst>
            <c:ext xmlns:c16="http://schemas.microsoft.com/office/drawing/2014/chart" uri="{C3380CC4-5D6E-409C-BE32-E72D297353CC}">
              <c16:uniqueId val="{00000004-6B98-4BF2-8672-64196CC092CB}"/>
            </c:ext>
          </c:extLst>
        </c:ser>
        <c:ser>
          <c:idx val="0"/>
          <c:order val="5"/>
          <c:tx>
            <c:strRef>
              <c:f>'Figure 2.11.'!$AH$39</c:f>
              <c:strCache>
                <c:ptCount val="1"/>
                <c:pt idx="0">
                  <c:v>1–10</c:v>
                </c:pt>
              </c:strCache>
            </c:strRef>
          </c:tx>
          <c:spPr>
            <a:ln w="28575" cap="rnd">
              <a:solidFill>
                <a:srgbClr val="BE8C00"/>
              </a:solidFill>
              <a:prstDash val="lg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2.11.'!$AH$40:$AH$52</c:f>
              <c:numCache>
                <c:formatCode>0.0</c:formatCode>
                <c:ptCount val="13"/>
                <c:pt idx="0">
                  <c:v>0.16750817283858541</c:v>
                </c:pt>
                <c:pt idx="1">
                  <c:v>0.1064276049902574</c:v>
                </c:pt>
                <c:pt idx="2">
                  <c:v>7.7233311522957815E-2</c:v>
                </c:pt>
                <c:pt idx="3">
                  <c:v>6.4245116414937006E-2</c:v>
                </c:pt>
                <c:pt idx="4">
                  <c:v>5.873647503712872E-2</c:v>
                </c:pt>
                <c:pt idx="5">
                  <c:v>5.6116176908184323E-2</c:v>
                </c:pt>
                <c:pt idx="6">
                  <c:v>5.4172993129945383E-2</c:v>
                </c:pt>
                <c:pt idx="7">
                  <c:v>5.1960295536340503E-2</c:v>
                </c:pt>
                <c:pt idx="8">
                  <c:v>4.9193765682614972E-2</c:v>
                </c:pt>
                <c:pt idx="9">
                  <c:v>4.588162019659936E-2</c:v>
                </c:pt>
                <c:pt idx="10">
                  <c:v>4.2197071739965807E-2</c:v>
                </c:pt>
                <c:pt idx="11">
                  <c:v>3.8306432478012208E-2</c:v>
                </c:pt>
                <c:pt idx="12">
                  <c:v>3.4372082614833981E-2</c:v>
                </c:pt>
              </c:numCache>
            </c:numRef>
          </c:val>
          <c:smooth val="0"/>
          <c:extLst>
            <c:ext xmlns:c16="http://schemas.microsoft.com/office/drawing/2014/chart" uri="{C3380CC4-5D6E-409C-BE32-E72D297353CC}">
              <c16:uniqueId val="{00000005-6B98-4BF2-8672-64196CC092CB}"/>
            </c:ext>
          </c:extLst>
        </c:ser>
        <c:ser>
          <c:idx val="3"/>
          <c:order val="6"/>
          <c:tx>
            <c:strRef>
              <c:f>'Figure 2.11.'!$AG$39</c:f>
              <c:strCache>
                <c:ptCount val="1"/>
                <c:pt idx="0">
                  <c:v>1 (poorest)</c:v>
                </c:pt>
              </c:strCache>
            </c:strRef>
          </c:tx>
          <c:spPr>
            <a:ln w="29210" cap="rnd">
              <a:solidFill>
                <a:srgbClr val="BE0000"/>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2.11.'!$AG$40:$AG$52</c:f>
              <c:numCache>
                <c:formatCode>0.0</c:formatCode>
                <c:ptCount val="13"/>
                <c:pt idx="0">
                  <c:v>0.67546130405253502</c:v>
                </c:pt>
                <c:pt idx="1">
                  <c:v>0.41674073410492712</c:v>
                </c:pt>
                <c:pt idx="2">
                  <c:v>0.26647597156050751</c:v>
                </c:pt>
                <c:pt idx="3">
                  <c:v>0.1799544709535873</c:v>
                </c:pt>
                <c:pt idx="4">
                  <c:v>0.13030255857599751</c:v>
                </c:pt>
                <c:pt idx="5">
                  <c:v>0.1015693447545471</c:v>
                </c:pt>
                <c:pt idx="6">
                  <c:v>8.4433737925932908E-2</c:v>
                </c:pt>
                <c:pt idx="7">
                  <c:v>7.3565128439839894E-2</c:v>
                </c:pt>
                <c:pt idx="8">
                  <c:v>6.5978132310017618E-2</c:v>
                </c:pt>
                <c:pt idx="9">
                  <c:v>6.0037123643111971E-2</c:v>
                </c:pt>
                <c:pt idx="10">
                  <c:v>5.4929079500371493E-2</c:v>
                </c:pt>
                <c:pt idx="11">
                  <c:v>5.0237711650582682E-2</c:v>
                </c:pt>
                <c:pt idx="12">
                  <c:v>4.5795190524726907E-2</c:v>
                </c:pt>
              </c:numCache>
            </c:numRef>
          </c:val>
          <c:smooth val="0"/>
          <c:extLst>
            <c:ext xmlns:c16="http://schemas.microsoft.com/office/drawing/2014/chart" uri="{C3380CC4-5D6E-409C-BE32-E72D297353CC}">
              <c16:uniqueId val="{00000006-6B98-4BF2-8672-64196CC092CB}"/>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222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0.9"/>
          <c:min val="-1.8"/>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26845134327444"/>
          <c:y val="6.8348834635263811E-2"/>
          <c:w val="0.85452211027422886"/>
          <c:h val="0.77631783426743628"/>
        </c:manualLayout>
      </c:layout>
      <c:lineChart>
        <c:grouping val="standard"/>
        <c:varyColors val="0"/>
        <c:ser>
          <c:idx val="9"/>
          <c:order val="0"/>
          <c:tx>
            <c:strRef>
              <c:f>'Figure 2.11.'!$AL$23</c:f>
              <c:strCache>
                <c:ptCount val="1"/>
                <c:pt idx="0">
                  <c:v>99 (richest)</c:v>
                </c:pt>
              </c:strCache>
            </c:strRef>
          </c:tx>
          <c:spPr>
            <a:ln w="29210" cap="rnd">
              <a:solidFill>
                <a:srgbClr val="ED77EA"/>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2.11.'!$AL$24:$AL$36</c:f>
              <c:numCache>
                <c:formatCode>0.0</c:formatCode>
                <c:ptCount val="13"/>
                <c:pt idx="0">
                  <c:v>7.2804922693330207E-2</c:v>
                </c:pt>
                <c:pt idx="1">
                  <c:v>2.5716414854270241E-2</c:v>
                </c:pt>
                <c:pt idx="2">
                  <c:v>-2.8716106723549089E-3</c:v>
                </c:pt>
                <c:pt idx="3">
                  <c:v>-1.95578264080753E-2</c:v>
                </c:pt>
                <c:pt idx="4">
                  <c:v>-2.862810981832602E-2</c:v>
                </c:pt>
                <c:pt idx="5">
                  <c:v>-3.2868336660123211E-2</c:v>
                </c:pt>
                <c:pt idx="6">
                  <c:v>-3.4090107700457152E-2</c:v>
                </c:pt>
                <c:pt idx="7">
                  <c:v>-3.3469938314674152E-2</c:v>
                </c:pt>
                <c:pt idx="8">
                  <c:v>-3.1769973121036847E-2</c:v>
                </c:pt>
                <c:pt idx="9">
                  <c:v>-2.9481281495696111E-2</c:v>
                </c:pt>
                <c:pt idx="10">
                  <c:v>-2.691761110853421E-2</c:v>
                </c:pt>
                <c:pt idx="11">
                  <c:v>-2.4276670599579549E-2</c:v>
                </c:pt>
                <c:pt idx="12">
                  <c:v>-2.168046270278574E-2</c:v>
                </c:pt>
              </c:numCache>
            </c:numRef>
          </c:val>
          <c:smooth val="0"/>
          <c:extLst>
            <c:ext xmlns:c16="http://schemas.microsoft.com/office/drawing/2014/chart" uri="{C3380CC4-5D6E-409C-BE32-E72D297353CC}">
              <c16:uniqueId val="{00000000-0E5E-4060-86B7-71F77E470255}"/>
            </c:ext>
          </c:extLst>
        </c:ser>
        <c:ser>
          <c:idx val="8"/>
          <c:order val="1"/>
          <c:tx>
            <c:strRef>
              <c:f>'Figure 2.11.'!$AK$23</c:f>
              <c:strCache>
                <c:ptCount val="1"/>
                <c:pt idx="0">
                  <c:v>90–100</c:v>
                </c:pt>
              </c:strCache>
            </c:strRef>
          </c:tx>
          <c:spPr>
            <a:ln w="28575" cap="rnd">
              <a:solidFill>
                <a:srgbClr val="331FF5"/>
              </a:solidFill>
              <a:prstDash val="lg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2.11.'!$AK$24:$AK$36</c:f>
              <c:numCache>
                <c:formatCode>0.0</c:formatCode>
                <c:ptCount val="13"/>
                <c:pt idx="0">
                  <c:v>7.0031481440279736E-2</c:v>
                </c:pt>
                <c:pt idx="1">
                  <c:v>2.4097541674812342E-2</c:v>
                </c:pt>
                <c:pt idx="2">
                  <c:v>-4.1763758878190678E-3</c:v>
                </c:pt>
                <c:pt idx="3">
                  <c:v>-2.0986576785673259E-2</c:v>
                </c:pt>
                <c:pt idx="4">
                  <c:v>-3.0376888992123791E-2</c:v>
                </c:pt>
                <c:pt idx="5">
                  <c:v>-3.4993576029183383E-2</c:v>
                </c:pt>
                <c:pt idx="6">
                  <c:v>-3.6572796333517579E-2</c:v>
                </c:pt>
                <c:pt idx="7">
                  <c:v>-3.6254747179250077E-2</c:v>
                </c:pt>
                <c:pt idx="8">
                  <c:v>-3.4788318953293193E-2</c:v>
                </c:pt>
                <c:pt idx="9">
                  <c:v>-3.2664216401283863E-2</c:v>
                </c:pt>
                <c:pt idx="10">
                  <c:v>-3.0202426848703941E-2</c:v>
                </c:pt>
                <c:pt idx="11">
                  <c:v>-2.7609729695232128E-2</c:v>
                </c:pt>
                <c:pt idx="12">
                  <c:v>-2.5017867662850739E-2</c:v>
                </c:pt>
              </c:numCache>
            </c:numRef>
          </c:val>
          <c:smooth val="0"/>
          <c:extLst>
            <c:ext xmlns:c16="http://schemas.microsoft.com/office/drawing/2014/chart" uri="{C3380CC4-5D6E-409C-BE32-E72D297353CC}">
              <c16:uniqueId val="{00000001-0E5E-4060-86B7-71F77E470255}"/>
            </c:ext>
          </c:extLst>
        </c:ser>
        <c:ser>
          <c:idx val="7"/>
          <c:order val="2"/>
          <c:tx>
            <c:strRef>
              <c:f>'Figure 2.11.'!$AJ$23</c:f>
              <c:strCache>
                <c:ptCount val="1"/>
                <c:pt idx="0">
                  <c:v>65–90</c:v>
                </c:pt>
              </c:strCache>
            </c:strRef>
          </c:tx>
          <c:spPr>
            <a:ln w="28575" cap="rnd">
              <a:solidFill>
                <a:srgbClr val="2D7DE7"/>
              </a:solidFill>
              <a:prstDash val="lgDashDot"/>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2.11.'!$AJ$24:$AJ$36</c:f>
              <c:numCache>
                <c:formatCode>0.0</c:formatCode>
                <c:ptCount val="13"/>
                <c:pt idx="0">
                  <c:v>3.072781109586779E-2</c:v>
                </c:pt>
                <c:pt idx="1">
                  <c:v>-1.015039687514765E-2</c:v>
                </c:pt>
                <c:pt idx="2">
                  <c:v>-3.3418325931862322E-2</c:v>
                </c:pt>
                <c:pt idx="3">
                  <c:v>-4.5501494357090097E-2</c:v>
                </c:pt>
                <c:pt idx="4">
                  <c:v>-5.0591040364998563E-2</c:v>
                </c:pt>
                <c:pt idx="5">
                  <c:v>-5.1410887594277033E-2</c:v>
                </c:pt>
                <c:pt idx="6">
                  <c:v>-4.9721212322536221E-2</c:v>
                </c:pt>
                <c:pt idx="7">
                  <c:v>-4.6648736063237072E-2</c:v>
                </c:pt>
                <c:pt idx="8">
                  <c:v>-4.2905121363419237E-2</c:v>
                </c:pt>
                <c:pt idx="9">
                  <c:v>-3.8930885024887327E-2</c:v>
                </c:pt>
                <c:pt idx="10">
                  <c:v>-3.4990630321152467E-2</c:v>
                </c:pt>
                <c:pt idx="11">
                  <c:v>-3.1235732106020219E-2</c:v>
                </c:pt>
                <c:pt idx="12">
                  <c:v>-2.7745737515130282E-2</c:v>
                </c:pt>
              </c:numCache>
            </c:numRef>
          </c:val>
          <c:smooth val="0"/>
          <c:extLst>
            <c:ext xmlns:c16="http://schemas.microsoft.com/office/drawing/2014/chart" uri="{C3380CC4-5D6E-409C-BE32-E72D297353CC}">
              <c16:uniqueId val="{00000002-0E5E-4060-86B7-71F77E470255}"/>
            </c:ext>
          </c:extLst>
        </c:ser>
        <c:ser>
          <c:idx val="1"/>
          <c:order val="3"/>
          <c:tx>
            <c:strRef>
              <c:f>'Figure 2.11.'!$AI$23</c:f>
              <c:strCache>
                <c:ptCount val="1"/>
                <c:pt idx="0">
                  <c:v>35–65</c:v>
                </c:pt>
              </c:strCache>
            </c:strRef>
          </c:tx>
          <c:spPr>
            <a:ln w="28575" cap="rnd">
              <a:solidFill>
                <a:srgbClr val="29EBCF"/>
              </a:solidFill>
              <a:prstDash val="sys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2.11.'!$AI$24:$AI$36</c:f>
              <c:numCache>
                <c:formatCode>0.0</c:formatCode>
                <c:ptCount val="13"/>
                <c:pt idx="0">
                  <c:v>-0.32258713093112518</c:v>
                </c:pt>
                <c:pt idx="1">
                  <c:v>-0.30194803578210649</c:v>
                </c:pt>
                <c:pt idx="2">
                  <c:v>-0.26166412166952863</c:v>
                </c:pt>
                <c:pt idx="3">
                  <c:v>-0.21690520627210741</c:v>
                </c:pt>
                <c:pt idx="4">
                  <c:v>-0.17489645202499601</c:v>
                </c:pt>
                <c:pt idx="5">
                  <c:v>-0.13855437018616379</c:v>
                </c:pt>
                <c:pt idx="6">
                  <c:v>-0.10855204388916</c:v>
                </c:pt>
                <c:pt idx="7">
                  <c:v>-8.4508146116951052E-2</c:v>
                </c:pt>
                <c:pt idx="8">
                  <c:v>-6.5613436541465481E-2</c:v>
                </c:pt>
                <c:pt idx="9">
                  <c:v>-5.0960413834564698E-2</c:v>
                </c:pt>
                <c:pt idx="10">
                  <c:v>-3.9692983293094959E-2</c:v>
                </c:pt>
                <c:pt idx="11">
                  <c:v>-3.1072372651297211E-2</c:v>
                </c:pt>
                <c:pt idx="12">
                  <c:v>-2.4489615082820909E-2</c:v>
                </c:pt>
              </c:numCache>
            </c:numRef>
          </c:val>
          <c:smooth val="0"/>
          <c:extLst>
            <c:ext xmlns:c16="http://schemas.microsoft.com/office/drawing/2014/chart" uri="{C3380CC4-5D6E-409C-BE32-E72D297353CC}">
              <c16:uniqueId val="{00000003-0E5E-4060-86B7-71F77E470255}"/>
            </c:ext>
          </c:extLst>
        </c:ser>
        <c:ser>
          <c:idx val="2"/>
          <c:order val="4"/>
          <c:tx>
            <c:strRef>
              <c:f>'Figure 2.11.'!$AH$23</c:f>
              <c:strCache>
                <c:ptCount val="1"/>
                <c:pt idx="0">
                  <c:v>10–35</c:v>
                </c:pt>
              </c:strCache>
            </c:strRef>
          </c:tx>
          <c:spPr>
            <a:ln w="28575" cap="rnd">
              <a:solidFill>
                <a:srgbClr val="669900"/>
              </a:solidFill>
              <a:prstDash val="lgDashDot"/>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2.11.'!$AH$24:$AH$36</c:f>
              <c:numCache>
                <c:formatCode>0.0</c:formatCode>
                <c:ptCount val="13"/>
                <c:pt idx="0">
                  <c:v>-1.2337538381357609</c:v>
                </c:pt>
                <c:pt idx="1">
                  <c:v>-0.8303671357104726</c:v>
                </c:pt>
                <c:pt idx="2">
                  <c:v>-0.55958019054430552</c:v>
                </c:pt>
                <c:pt idx="3">
                  <c:v>-0.37707417148278188</c:v>
                </c:pt>
                <c:pt idx="4">
                  <c:v>-0.25368927270619462</c:v>
                </c:pt>
                <c:pt idx="5">
                  <c:v>-0.17023878725526151</c:v>
                </c:pt>
                <c:pt idx="6">
                  <c:v>-0.1138089734499237</c:v>
                </c:pt>
                <c:pt idx="7">
                  <c:v>-7.5737186551046234E-2</c:v>
                </c:pt>
                <c:pt idx="8">
                  <c:v>-5.0121357952583531E-2</c:v>
                </c:pt>
                <c:pt idx="9">
                  <c:v>-3.2967183500834593E-2</c:v>
                </c:pt>
                <c:pt idx="10">
                  <c:v>-2.15371354571211E-2</c:v>
                </c:pt>
                <c:pt idx="11">
                  <c:v>-1.4016741246126219E-2</c:v>
                </c:pt>
                <c:pt idx="12">
                  <c:v>-9.1345365437166329E-3</c:v>
                </c:pt>
              </c:numCache>
            </c:numRef>
          </c:val>
          <c:smooth val="0"/>
          <c:extLst>
            <c:ext xmlns:c16="http://schemas.microsoft.com/office/drawing/2014/chart" uri="{C3380CC4-5D6E-409C-BE32-E72D297353CC}">
              <c16:uniqueId val="{00000004-0E5E-4060-86B7-71F77E470255}"/>
            </c:ext>
          </c:extLst>
        </c:ser>
        <c:ser>
          <c:idx val="0"/>
          <c:order val="5"/>
          <c:tx>
            <c:strRef>
              <c:f>'Figure 2.11.'!$AG$23</c:f>
              <c:strCache>
                <c:ptCount val="1"/>
                <c:pt idx="0">
                  <c:v>1–10</c:v>
                </c:pt>
              </c:strCache>
            </c:strRef>
          </c:tx>
          <c:spPr>
            <a:ln w="28575" cap="rnd">
              <a:solidFill>
                <a:srgbClr val="BE8C00"/>
              </a:solidFill>
              <a:prstDash val="lgDash"/>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2.11.'!$AG$24:$AG$36</c:f>
              <c:numCache>
                <c:formatCode>0.0</c:formatCode>
                <c:ptCount val="13"/>
                <c:pt idx="0">
                  <c:v>-1.5606371516324249</c:v>
                </c:pt>
                <c:pt idx="1">
                  <c:v>-1.005545677281225</c:v>
                </c:pt>
                <c:pt idx="2">
                  <c:v>-0.64406828770805125</c:v>
                </c:pt>
                <c:pt idx="3">
                  <c:v>-0.40871948853258783</c:v>
                </c:pt>
                <c:pt idx="4">
                  <c:v>-0.25548757961958429</c:v>
                </c:pt>
                <c:pt idx="5">
                  <c:v>-0.15588660352402151</c:v>
                </c:pt>
                <c:pt idx="6">
                  <c:v>-9.1404255568133044E-2</c:v>
                </c:pt>
                <c:pt idx="7">
                  <c:v>-4.9990185302546369E-2</c:v>
                </c:pt>
                <c:pt idx="8">
                  <c:v>-2.3717968338056492E-2</c:v>
                </c:pt>
                <c:pt idx="9">
                  <c:v>-7.3420256557388828E-3</c:v>
                </c:pt>
                <c:pt idx="10">
                  <c:v>2.5414586854002681E-3</c:v>
                </c:pt>
                <c:pt idx="11">
                  <c:v>8.1811095258121184E-3</c:v>
                </c:pt>
                <c:pt idx="12">
                  <c:v>1.1077566178678659E-2</c:v>
                </c:pt>
              </c:numCache>
            </c:numRef>
          </c:val>
          <c:smooth val="0"/>
          <c:extLst>
            <c:ext xmlns:c16="http://schemas.microsoft.com/office/drawing/2014/chart" uri="{C3380CC4-5D6E-409C-BE32-E72D297353CC}">
              <c16:uniqueId val="{00000005-0E5E-4060-86B7-71F77E470255}"/>
            </c:ext>
          </c:extLst>
        </c:ser>
        <c:ser>
          <c:idx val="3"/>
          <c:order val="6"/>
          <c:tx>
            <c:strRef>
              <c:f>'Figure 2.11.'!$AF$23</c:f>
              <c:strCache>
                <c:ptCount val="1"/>
                <c:pt idx="0">
                  <c:v>1 (poorest)</c:v>
                </c:pt>
              </c:strCache>
            </c:strRef>
          </c:tx>
          <c:spPr>
            <a:ln w="29210" cap="rnd">
              <a:solidFill>
                <a:srgbClr val="BE0000"/>
              </a:solidFill>
              <a:round/>
            </a:ln>
            <a:effectLst/>
          </c:spPr>
          <c:marker>
            <c:symbol val="none"/>
          </c:marker>
          <c:cat>
            <c:numRef>
              <c:f>'Figure 2.11.'!$AA$24:$AA$36</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2.11.'!$AF$24:$AF$36</c:f>
              <c:numCache>
                <c:formatCode>0.0</c:formatCode>
                <c:ptCount val="13"/>
                <c:pt idx="0">
                  <c:v>-1.774715455111247</c:v>
                </c:pt>
                <c:pt idx="1">
                  <c:v>-1.142388780142831</c:v>
                </c:pt>
                <c:pt idx="2">
                  <c:v>-0.73058741005958527</c:v>
                </c:pt>
                <c:pt idx="3">
                  <c:v>-0.46213307321018832</c:v>
                </c:pt>
                <c:pt idx="4">
                  <c:v>-0.28709081578847639</c:v>
                </c:pt>
                <c:pt idx="5">
                  <c:v>-0.1731257593413974</c:v>
                </c:pt>
                <c:pt idx="6">
                  <c:v>-9.9167558834712968E-2</c:v>
                </c:pt>
                <c:pt idx="7">
                  <c:v>-5.1506326609802353E-2</c:v>
                </c:pt>
                <c:pt idx="8">
                  <c:v>-2.113782332262399E-2</c:v>
                </c:pt>
                <c:pt idx="9">
                  <c:v>-2.1170741544860512E-3</c:v>
                </c:pt>
                <c:pt idx="10">
                  <c:v>9.4250727175337785E-3</c:v>
                </c:pt>
                <c:pt idx="11">
                  <c:v>1.6060372033104061E-2</c:v>
                </c:pt>
                <c:pt idx="12">
                  <c:v>1.9492510605245469E-2</c:v>
                </c:pt>
              </c:numCache>
            </c:numRef>
          </c:val>
          <c:smooth val="0"/>
          <c:extLst>
            <c:ext xmlns:c16="http://schemas.microsoft.com/office/drawing/2014/chart" uri="{C3380CC4-5D6E-409C-BE32-E72D297353CC}">
              <c16:uniqueId val="{00000006-0E5E-4060-86B7-71F77E470255}"/>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222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0.9"/>
          <c:min val="-1.8"/>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71298678909159"/>
          <c:y val="6.3615945012686984E-2"/>
          <c:w val="0.85596016144935372"/>
          <c:h val="0.78105074681365616"/>
        </c:manualLayout>
      </c:layout>
      <c:lineChart>
        <c:grouping val="standard"/>
        <c:varyColors val="0"/>
        <c:ser>
          <c:idx val="0"/>
          <c:order val="0"/>
          <c:spPr>
            <a:ln w="28575" cap="rnd">
              <a:solidFill>
                <a:schemeClr val="tx1"/>
              </a:solidFill>
              <a:round/>
            </a:ln>
            <a:effectLst/>
          </c:spPr>
          <c:marker>
            <c:symbol val="none"/>
          </c:marker>
          <c:cat>
            <c:numRef>
              <c:f>'Figure 2.11.'!$AA$40:$AA$52</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2.11.'!$AB$40:$AB$52</c:f>
              <c:numCache>
                <c:formatCode>0.0</c:formatCode>
                <c:ptCount val="13"/>
                <c:pt idx="0">
                  <c:v>3.3425783908476452E-3</c:v>
                </c:pt>
                <c:pt idx="1">
                  <c:v>-0.83334789052079938</c:v>
                </c:pt>
                <c:pt idx="2">
                  <c:v>-0.57258277592101559</c:v>
                </c:pt>
                <c:pt idx="3">
                  <c:v>-0.39738679749849293</c:v>
                </c:pt>
                <c:pt idx="4">
                  <c:v>-0.27887240109299549</c:v>
                </c:pt>
                <c:pt idx="5">
                  <c:v>-0.19810021980170969</c:v>
                </c:pt>
                <c:pt idx="6">
                  <c:v>-0.14259120543763371</c:v>
                </c:pt>
                <c:pt idx="7">
                  <c:v>-0.1040870021639639</c:v>
                </c:pt>
                <c:pt idx="8">
                  <c:v>-7.709903041082096E-2</c:v>
                </c:pt>
                <c:pt idx="9">
                  <c:v>-5.7963380332549379E-2</c:v>
                </c:pt>
                <c:pt idx="10">
                  <c:v>-4.4223298319857517E-2</c:v>
                </c:pt>
                <c:pt idx="11">
                  <c:v>-3.422177623396979E-2</c:v>
                </c:pt>
                <c:pt idx="12">
                  <c:v>-2.6836626568711001E-2</c:v>
                </c:pt>
              </c:numCache>
            </c:numRef>
          </c:val>
          <c:smooth val="0"/>
          <c:extLst>
            <c:ext xmlns:c16="http://schemas.microsoft.com/office/drawing/2014/chart" uri="{C3380CC4-5D6E-409C-BE32-E72D297353CC}">
              <c16:uniqueId val="{00000000-CD56-4FC1-B824-4A18F556A0CC}"/>
            </c:ext>
          </c:extLst>
        </c:ser>
        <c:dLbls>
          <c:showLegendKey val="0"/>
          <c:showVal val="0"/>
          <c:showCatName val="0"/>
          <c:showSerName val="0"/>
          <c:showPercent val="0"/>
          <c:showBubbleSize val="0"/>
        </c:dLbls>
        <c:smooth val="0"/>
        <c:axId val="1275589808"/>
        <c:axId val="1275596464"/>
      </c:lineChart>
      <c:catAx>
        <c:axId val="1275589808"/>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3"/>
          <c:min val="-1"/>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82672976483713"/>
          <c:y val="6.3615822336016009E-2"/>
          <c:w val="0.71208347931073512"/>
          <c:h val="0.78105074681365616"/>
        </c:manualLayout>
      </c:layout>
      <c:lineChart>
        <c:grouping val="standard"/>
        <c:varyColors val="0"/>
        <c:ser>
          <c:idx val="1"/>
          <c:order val="0"/>
          <c:tx>
            <c:strRef>
              <c:f>'Figure 2.11.'!$AE$39</c:f>
              <c:strCache>
                <c:ptCount val="1"/>
                <c:pt idx="0">
                  <c:v>Inflation (percentage points)</c:v>
                </c:pt>
              </c:strCache>
            </c:strRef>
          </c:tx>
          <c:spPr>
            <a:ln w="28575" cap="rnd">
              <a:solidFill>
                <a:schemeClr val="accent2">
                  <a:lumMod val="75000"/>
                </a:schemeClr>
              </a:solidFill>
              <a:round/>
            </a:ln>
            <a:effectLst/>
          </c:spPr>
          <c:marker>
            <c:symbol val="none"/>
          </c:marker>
          <c:cat>
            <c:numRef>
              <c:f>'Figure 2.11.'!$AA$40:$AA$52</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2.11.'!$AE$40:$AE$52</c:f>
              <c:numCache>
                <c:formatCode>0.0</c:formatCode>
                <c:ptCount val="13"/>
                <c:pt idx="0">
                  <c:v>-0.6685156781695496</c:v>
                </c:pt>
                <c:pt idx="1">
                  <c:v>-0.45934143822756102</c:v>
                </c:pt>
                <c:pt idx="2">
                  <c:v>-0.31880437268715539</c:v>
                </c:pt>
                <c:pt idx="3">
                  <c:v>-0.2237336720902835</c:v>
                </c:pt>
                <c:pt idx="4">
                  <c:v>-0.1589378039717734</c:v>
                </c:pt>
                <c:pt idx="5">
                  <c:v>-0.11440703260143099</c:v>
                </c:pt>
                <c:pt idx="6">
                  <c:v>-8.3517062831017508E-2</c:v>
                </c:pt>
                <c:pt idx="7">
                  <c:v>-6.1865274961608013E-2</c:v>
                </c:pt>
                <c:pt idx="8">
                  <c:v>-4.6512658237810818E-2</c:v>
                </c:pt>
                <c:pt idx="9">
                  <c:v>-3.5488492942832281E-2</c:v>
                </c:pt>
                <c:pt idx="10">
                  <c:v>-2.746357173656485E-2</c:v>
                </c:pt>
                <c:pt idx="11">
                  <c:v>-2.153768734725511E-2</c:v>
                </c:pt>
                <c:pt idx="12">
                  <c:v>-1.709652307157623E-2</c:v>
                </c:pt>
              </c:numCache>
            </c:numRef>
          </c:val>
          <c:smooth val="0"/>
          <c:extLst>
            <c:ext xmlns:c16="http://schemas.microsoft.com/office/drawing/2014/chart" uri="{C3380CC4-5D6E-409C-BE32-E72D297353CC}">
              <c16:uniqueId val="{00000000-6C1D-4701-A73A-A3F2AFCB56ED}"/>
            </c:ext>
          </c:extLst>
        </c:ser>
        <c:ser>
          <c:idx val="2"/>
          <c:order val="1"/>
          <c:tx>
            <c:strRef>
              <c:f>'Figure 2.11.'!$AF$39</c:f>
              <c:strCache>
                <c:ptCount val="1"/>
                <c:pt idx="0">
                  <c:v>Consumption</c:v>
                </c:pt>
              </c:strCache>
            </c:strRef>
          </c:tx>
          <c:spPr>
            <a:ln w="28575" cap="rnd">
              <a:solidFill>
                <a:schemeClr val="accent5">
                  <a:lumMod val="50000"/>
                </a:schemeClr>
              </a:solidFill>
              <a:prstDash val="lgDash"/>
              <a:round/>
            </a:ln>
            <a:effectLst/>
          </c:spPr>
          <c:marker>
            <c:symbol val="none"/>
          </c:marker>
          <c:cat>
            <c:numRef>
              <c:f>'Figure 2.11.'!$AA$40:$AA$52</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2.11.'!$AF$40:$AF$52</c:f>
              <c:numCache>
                <c:formatCode>0.0</c:formatCode>
                <c:ptCount val="13"/>
                <c:pt idx="0">
                  <c:v>-6.4960845753334273E-2</c:v>
                </c:pt>
                <c:pt idx="1">
                  <c:v>-9.2533106241343671E-2</c:v>
                </c:pt>
                <c:pt idx="2">
                  <c:v>-9.6942356842653732E-2</c:v>
                </c:pt>
                <c:pt idx="3">
                  <c:v>-9.0246994089122595E-2</c:v>
                </c:pt>
                <c:pt idx="4">
                  <c:v>-7.9127973424999276E-2</c:v>
                </c:pt>
                <c:pt idx="5">
                  <c:v>-6.707983478069543E-2</c:v>
                </c:pt>
                <c:pt idx="6">
                  <c:v>-5.5780158434866577E-2</c:v>
                </c:pt>
                <c:pt idx="7">
                  <c:v>-4.5909396081292082E-2</c:v>
                </c:pt>
                <c:pt idx="8">
                  <c:v>-3.7625080030534289E-2</c:v>
                </c:pt>
                <c:pt idx="9">
                  <c:v>-3.0842364271254589E-2</c:v>
                </c:pt>
                <c:pt idx="10">
                  <c:v>-2.5363048594283781E-2</c:v>
                </c:pt>
                <c:pt idx="11">
                  <c:v>-2.0971922446048029E-2</c:v>
                </c:pt>
                <c:pt idx="12">
                  <c:v>-1.7460536658819741E-2</c:v>
                </c:pt>
              </c:numCache>
            </c:numRef>
          </c:val>
          <c:smooth val="0"/>
          <c:extLst>
            <c:ext xmlns:c16="http://schemas.microsoft.com/office/drawing/2014/chart" uri="{C3380CC4-5D6E-409C-BE32-E72D297353CC}">
              <c16:uniqueId val="{00000001-6C1D-4701-A73A-A3F2AFCB56ED}"/>
            </c:ext>
          </c:extLst>
        </c:ser>
        <c:dLbls>
          <c:showLegendKey val="0"/>
          <c:showVal val="0"/>
          <c:showCatName val="0"/>
          <c:showSerName val="0"/>
          <c:showPercent val="0"/>
          <c:showBubbleSize val="0"/>
        </c:dLbls>
        <c:marker val="1"/>
        <c:smooth val="0"/>
        <c:axId val="1275589808"/>
        <c:axId val="1275596464"/>
      </c:lineChart>
      <c:lineChart>
        <c:grouping val="standard"/>
        <c:varyColors val="0"/>
        <c:ser>
          <c:idx val="0"/>
          <c:order val="2"/>
          <c:tx>
            <c:strRef>
              <c:f>'Figure 2.11.'!$AN$39</c:f>
              <c:strCache>
                <c:ptCount val="1"/>
                <c:pt idx="0">
                  <c:v>GDP (right scale)</c:v>
                </c:pt>
              </c:strCache>
            </c:strRef>
          </c:tx>
          <c:spPr>
            <a:ln w="28575" cap="rnd">
              <a:solidFill>
                <a:schemeClr val="tx1"/>
              </a:solidFill>
              <a:prstDash val="sysDash"/>
              <a:round/>
            </a:ln>
            <a:effectLst/>
          </c:spPr>
          <c:marker>
            <c:symbol val="none"/>
          </c:marker>
          <c:val>
            <c:numRef>
              <c:f>'Figure 2.11.'!$AN$40:$AN$51</c:f>
              <c:numCache>
                <c:formatCode>0.0</c:formatCode>
                <c:ptCount val="12"/>
                <c:pt idx="0">
                  <c:v>-2.0458655569533279</c:v>
                </c:pt>
                <c:pt idx="1">
                  <c:v>-1.3254282684759029</c:v>
                </c:pt>
                <c:pt idx="2">
                  <c:v>-0.86237754822130375</c:v>
                </c:pt>
                <c:pt idx="3">
                  <c:v>-0.56394956752210379</c:v>
                </c:pt>
                <c:pt idx="4">
                  <c:v>-0.37105479800976587</c:v>
                </c:pt>
                <c:pt idx="5">
                  <c:v>-0.24596107112120791</c:v>
                </c:pt>
                <c:pt idx="6">
                  <c:v>-0.16452619683532579</c:v>
                </c:pt>
                <c:pt idx="7">
                  <c:v>-0.1112741261492787</c:v>
                </c:pt>
                <c:pt idx="8">
                  <c:v>-7.6263000444381071E-2</c:v>
                </c:pt>
                <c:pt idx="9">
                  <c:v>-5.3099131235051521E-2</c:v>
                </c:pt>
                <c:pt idx="10">
                  <c:v>-3.7652028820408953E-2</c:v>
                </c:pt>
                <c:pt idx="11">
                  <c:v>-2.7255530338250199E-2</c:v>
                </c:pt>
              </c:numCache>
            </c:numRef>
          </c:val>
          <c:smooth val="0"/>
          <c:extLst>
            <c:ext xmlns:c16="http://schemas.microsoft.com/office/drawing/2014/chart" uri="{C3380CC4-5D6E-409C-BE32-E72D297353CC}">
              <c16:uniqueId val="{00000002-6C1D-4701-A73A-A3F2AFCB56ED}"/>
            </c:ext>
          </c:extLst>
        </c:ser>
        <c:dLbls>
          <c:showLegendKey val="0"/>
          <c:showVal val="0"/>
          <c:showCatName val="0"/>
          <c:showSerName val="0"/>
          <c:showPercent val="0"/>
          <c:showBubbleSize val="0"/>
        </c:dLbls>
        <c:marker val="1"/>
        <c:smooth val="0"/>
        <c:axId val="1408426319"/>
        <c:axId val="1408435887"/>
      </c:lineChart>
      <c:catAx>
        <c:axId val="1275589808"/>
        <c:scaling>
          <c:orientation val="minMax"/>
        </c:scaling>
        <c:delete val="0"/>
        <c:axPos val="b"/>
        <c:numFmt formatCode="General" sourceLinked="1"/>
        <c:majorTickMark val="none"/>
        <c:minorTickMark val="none"/>
        <c:tickLblPos val="low"/>
        <c:spPr>
          <a:noFill/>
          <a:ln w="222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96464"/>
        <c:crosses val="autoZero"/>
        <c:auto val="1"/>
        <c:lblAlgn val="ctr"/>
        <c:lblOffset val="100"/>
        <c:noMultiLvlLbl val="0"/>
      </c:catAx>
      <c:valAx>
        <c:axId val="1275596464"/>
        <c:scaling>
          <c:orientation val="minMax"/>
          <c:max val="0"/>
          <c:min val="-0.8"/>
        </c:scaling>
        <c:delete val="0"/>
        <c:axPos val="l"/>
        <c:numFmt formatCode="0.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75589808"/>
        <c:crosses val="autoZero"/>
        <c:crossBetween val="between"/>
        <c:majorUnit val="0.2"/>
      </c:valAx>
      <c:valAx>
        <c:axId val="1408435887"/>
        <c:scaling>
          <c:orientation val="minMax"/>
          <c:min val="-2"/>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08426319"/>
        <c:crosses val="max"/>
        <c:crossBetween val="between"/>
        <c:majorUnit val="0.5"/>
      </c:valAx>
      <c:catAx>
        <c:axId val="1408426319"/>
        <c:scaling>
          <c:orientation val="minMax"/>
        </c:scaling>
        <c:delete val="1"/>
        <c:axPos val="b"/>
        <c:majorTickMark val="out"/>
        <c:minorTickMark val="none"/>
        <c:tickLblPos val="nextTo"/>
        <c:crossAx val="1408435887"/>
        <c:crosses val="autoZero"/>
        <c:auto val="1"/>
        <c:lblAlgn val="ctr"/>
        <c:lblOffset val="100"/>
        <c:noMultiLvlLbl val="0"/>
      </c:catAx>
      <c:spPr>
        <a:noFill/>
        <a:ln>
          <a:noFill/>
        </a:ln>
        <a:effectLst/>
      </c:spPr>
    </c:plotArea>
    <c:legend>
      <c:legendPos val="r"/>
      <c:layout>
        <c:manualLayout>
          <c:xMode val="edge"/>
          <c:yMode val="edge"/>
          <c:x val="0.27607728604521353"/>
          <c:y val="0.41381720435307251"/>
          <c:w val="0.57302795590207245"/>
          <c:h val="0.39002889862903256"/>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2364868448635"/>
          <c:y val="4.8394028871391076E-2"/>
          <c:w val="0.72886444647543225"/>
          <c:h val="0.83344023403324585"/>
        </c:manualLayout>
      </c:layout>
      <c:areaChart>
        <c:grouping val="standard"/>
        <c:varyColors val="0"/>
        <c:ser>
          <c:idx val="1"/>
          <c:order val="2"/>
          <c:tx>
            <c:strRef>
              <c:f>'Figure 2.1.1.'!$X$4</c:f>
              <c:strCache>
                <c:ptCount val="1"/>
                <c:pt idx="0">
                  <c:v>ci90u_Higher unionization and centralization</c:v>
                </c:pt>
              </c:strCache>
            </c:strRef>
          </c:tx>
          <c:spPr>
            <a:solidFill>
              <a:schemeClr val="accent1">
                <a:lumMod val="60000"/>
                <a:lumOff val="40000"/>
              </a:schemeClr>
            </a:solidFill>
            <a:ln>
              <a:noFill/>
              <a:prstDash val="sysDash"/>
            </a:ln>
            <a:effectLst/>
          </c:spP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2.1.1.'!$X$5:$X$26</c:f>
              <c:numCache>
                <c:formatCode>0.0</c:formatCode>
                <c:ptCount val="22"/>
                <c:pt idx="0">
                  <c:v>0</c:v>
                </c:pt>
                <c:pt idx="1">
                  <c:v>0.20035210000000001</c:v>
                </c:pt>
                <c:pt idx="2">
                  <c:v>0.24039820000000001</c:v>
                </c:pt>
                <c:pt idx="3">
                  <c:v>0.27188839999999997</c:v>
                </c:pt>
                <c:pt idx="4">
                  <c:v>0.33089540000000001</c:v>
                </c:pt>
                <c:pt idx="5">
                  <c:v>0.27782279999999998</c:v>
                </c:pt>
                <c:pt idx="6">
                  <c:v>0.30980790000000002</c:v>
                </c:pt>
                <c:pt idx="7">
                  <c:v>0.40976800000000002</c:v>
                </c:pt>
                <c:pt idx="8">
                  <c:v>0.47970370000000001</c:v>
                </c:pt>
                <c:pt idx="9">
                  <c:v>0.37127189999999999</c:v>
                </c:pt>
                <c:pt idx="10">
                  <c:v>0.50186410000000004</c:v>
                </c:pt>
                <c:pt idx="11">
                  <c:v>0.55936339999999996</c:v>
                </c:pt>
                <c:pt idx="12">
                  <c:v>0.54108239999999996</c:v>
                </c:pt>
                <c:pt idx="13">
                  <c:v>0.36447810000000003</c:v>
                </c:pt>
                <c:pt idx="14">
                  <c:v>0.36059580000000002</c:v>
                </c:pt>
                <c:pt idx="15">
                  <c:v>0.41676609999999997</c:v>
                </c:pt>
                <c:pt idx="16">
                  <c:v>0.45380219999999999</c:v>
                </c:pt>
                <c:pt idx="17">
                  <c:v>0.40421940000000001</c:v>
                </c:pt>
                <c:pt idx="18">
                  <c:v>0.44749480000000003</c:v>
                </c:pt>
                <c:pt idx="19">
                  <c:v>0.48033120000000001</c:v>
                </c:pt>
                <c:pt idx="20">
                  <c:v>0.55180870000000004</c:v>
                </c:pt>
                <c:pt idx="21">
                  <c:v>0.46675460000000002</c:v>
                </c:pt>
              </c:numCache>
            </c:numRef>
          </c:val>
          <c:extLst>
            <c:ext xmlns:c16="http://schemas.microsoft.com/office/drawing/2014/chart" uri="{C3380CC4-5D6E-409C-BE32-E72D297353CC}">
              <c16:uniqueId val="{00000000-6920-44CD-8A7F-3E066AB48C10}"/>
            </c:ext>
          </c:extLst>
        </c:ser>
        <c:ser>
          <c:idx val="2"/>
          <c:order val="3"/>
          <c:tx>
            <c:strRef>
              <c:f>'Figure 2.1.1.'!$Y$4</c:f>
              <c:strCache>
                <c:ptCount val="1"/>
                <c:pt idx="0">
                  <c:v>ci90d_Higher unionization and centralization</c:v>
                </c:pt>
              </c:strCache>
            </c:strRef>
          </c:tx>
          <c:spPr>
            <a:solidFill>
              <a:schemeClr val="bg1"/>
            </a:solidFill>
            <a:ln>
              <a:noFill/>
              <a:prstDash val="sysDash"/>
            </a:ln>
            <a:effectLst/>
          </c:spP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2.1.1.'!$Y$5:$Y$26</c:f>
              <c:numCache>
                <c:formatCode>0.0</c:formatCode>
                <c:ptCount val="22"/>
                <c:pt idx="0">
                  <c:v>0</c:v>
                </c:pt>
                <c:pt idx="1">
                  <c:v>8.1987699999999997E-2</c:v>
                </c:pt>
                <c:pt idx="2">
                  <c:v>5.2074200000000001E-2</c:v>
                </c:pt>
                <c:pt idx="3">
                  <c:v>6.2803600000000001E-2</c:v>
                </c:pt>
                <c:pt idx="4">
                  <c:v>6.54304E-2</c:v>
                </c:pt>
                <c:pt idx="5">
                  <c:v>5.6740000000000002E-3</c:v>
                </c:pt>
                <c:pt idx="6">
                  <c:v>5.07448E-2</c:v>
                </c:pt>
                <c:pt idx="7">
                  <c:v>8.9403899999999994E-2</c:v>
                </c:pt>
                <c:pt idx="8">
                  <c:v>7.2509299999999999E-2</c:v>
                </c:pt>
                <c:pt idx="9">
                  <c:v>4.5515300000000002E-2</c:v>
                </c:pt>
                <c:pt idx="10">
                  <c:v>8.1304600000000005E-2</c:v>
                </c:pt>
                <c:pt idx="11">
                  <c:v>7.3344900000000005E-2</c:v>
                </c:pt>
                <c:pt idx="12">
                  <c:v>6.0098100000000002E-2</c:v>
                </c:pt>
                <c:pt idx="13">
                  <c:v>3.5534799999999998E-2</c:v>
                </c:pt>
                <c:pt idx="14">
                  <c:v>3.3838600000000003E-2</c:v>
                </c:pt>
                <c:pt idx="15">
                  <c:v>2.6798099999999998E-2</c:v>
                </c:pt>
                <c:pt idx="16">
                  <c:v>3.1759500000000003E-2</c:v>
                </c:pt>
                <c:pt idx="17">
                  <c:v>4.52375E-2</c:v>
                </c:pt>
                <c:pt idx="18">
                  <c:v>8.6413100000000007E-2</c:v>
                </c:pt>
                <c:pt idx="19">
                  <c:v>6.8106899999999998E-2</c:v>
                </c:pt>
                <c:pt idx="20">
                  <c:v>7.28795E-2</c:v>
                </c:pt>
                <c:pt idx="21">
                  <c:v>9.9458900000000003E-2</c:v>
                </c:pt>
              </c:numCache>
            </c:numRef>
          </c:val>
          <c:extLst>
            <c:ext xmlns:c16="http://schemas.microsoft.com/office/drawing/2014/chart" uri="{C3380CC4-5D6E-409C-BE32-E72D297353CC}">
              <c16:uniqueId val="{00000001-6920-44CD-8A7F-3E066AB48C10}"/>
            </c:ext>
          </c:extLst>
        </c:ser>
        <c:dLbls>
          <c:showLegendKey val="0"/>
          <c:showVal val="0"/>
          <c:showCatName val="0"/>
          <c:showSerName val="0"/>
          <c:showPercent val="0"/>
          <c:showBubbleSize val="0"/>
        </c:dLbls>
        <c:axId val="444401679"/>
        <c:axId val="444395023"/>
      </c:areaChart>
      <c:lineChart>
        <c:grouping val="standard"/>
        <c:varyColors val="0"/>
        <c:ser>
          <c:idx val="5"/>
          <c:order val="0"/>
          <c:tx>
            <c:strRef>
              <c:f>'Figure 2.1.1.'!$AB$4</c:f>
              <c:strCache>
                <c:ptCount val="1"/>
                <c:pt idx="0">
                  <c:v>ci90d_Lower unionization and centralization</c:v>
                </c:pt>
              </c:strCache>
            </c:strRef>
          </c:tx>
          <c:spPr>
            <a:ln w="28575" cap="rnd">
              <a:solidFill>
                <a:srgbClr val="CC3300"/>
              </a:solidFill>
              <a:prstDash val="sysDash"/>
              <a:round/>
            </a:ln>
            <a:effectLst/>
          </c:spPr>
          <c:marker>
            <c:symbol val="none"/>
          </c:marke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2.1.1.'!$AB$5:$AB$26</c:f>
              <c:numCache>
                <c:formatCode>0.0</c:formatCode>
                <c:ptCount val="22"/>
                <c:pt idx="0">
                  <c:v>0</c:v>
                </c:pt>
                <c:pt idx="1">
                  <c:v>8.0643900000000004E-2</c:v>
                </c:pt>
                <c:pt idx="2">
                  <c:v>4.27651E-2</c:v>
                </c:pt>
                <c:pt idx="3">
                  <c:v>-4.4904000000000003E-3</c:v>
                </c:pt>
                <c:pt idx="4">
                  <c:v>-4.0746200000000003E-2</c:v>
                </c:pt>
                <c:pt idx="5">
                  <c:v>-3.9479300000000002E-2</c:v>
                </c:pt>
                <c:pt idx="6">
                  <c:v>-2.1292700000000001E-2</c:v>
                </c:pt>
                <c:pt idx="7">
                  <c:v>2.0018899999999999E-2</c:v>
                </c:pt>
                <c:pt idx="8">
                  <c:v>6.1249199999999997E-2</c:v>
                </c:pt>
                <c:pt idx="9">
                  <c:v>-1.12205E-2</c:v>
                </c:pt>
                <c:pt idx="10">
                  <c:v>-0.11552800000000001</c:v>
                </c:pt>
                <c:pt idx="11">
                  <c:v>-0.1274932</c:v>
                </c:pt>
                <c:pt idx="12">
                  <c:v>-9.94892E-2</c:v>
                </c:pt>
                <c:pt idx="13">
                  <c:v>-0.1224717</c:v>
                </c:pt>
                <c:pt idx="14">
                  <c:v>-0.2080688</c:v>
                </c:pt>
                <c:pt idx="15">
                  <c:v>-0.2441451</c:v>
                </c:pt>
                <c:pt idx="16">
                  <c:v>-0.293572</c:v>
                </c:pt>
                <c:pt idx="17">
                  <c:v>-0.35822029999999999</c:v>
                </c:pt>
                <c:pt idx="18">
                  <c:v>-0.36640460000000002</c:v>
                </c:pt>
                <c:pt idx="19">
                  <c:v>-0.32428370000000001</c:v>
                </c:pt>
                <c:pt idx="20">
                  <c:v>-0.2351007</c:v>
                </c:pt>
                <c:pt idx="21">
                  <c:v>-0.22513649999999999</c:v>
                </c:pt>
              </c:numCache>
            </c:numRef>
          </c:val>
          <c:smooth val="0"/>
          <c:extLst>
            <c:ext xmlns:c16="http://schemas.microsoft.com/office/drawing/2014/chart" uri="{C3380CC4-5D6E-409C-BE32-E72D297353CC}">
              <c16:uniqueId val="{00000002-6920-44CD-8A7F-3E066AB48C10}"/>
            </c:ext>
          </c:extLst>
        </c:ser>
        <c:ser>
          <c:idx val="0"/>
          <c:order val="1"/>
          <c:tx>
            <c:strRef>
              <c:f>'Figure 2.1.1.'!$W$4</c:f>
              <c:strCache>
                <c:ptCount val="1"/>
                <c:pt idx="0">
                  <c:v>Higher unionization and centralization</c:v>
                </c:pt>
              </c:strCache>
            </c:strRef>
          </c:tx>
          <c:spPr>
            <a:ln w="38100" cap="rnd">
              <a:solidFill>
                <a:schemeClr val="accent1"/>
              </a:solidFill>
              <a:round/>
            </a:ln>
            <a:effectLst/>
          </c:spPr>
          <c:marker>
            <c:symbol val="none"/>
          </c:marke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2.1.1.'!$W$5:$W$26</c:f>
              <c:numCache>
                <c:formatCode>0.0</c:formatCode>
                <c:ptCount val="22"/>
                <c:pt idx="0">
                  <c:v>0</c:v>
                </c:pt>
                <c:pt idx="1">
                  <c:v>0.14116989999999999</c:v>
                </c:pt>
                <c:pt idx="2">
                  <c:v>0.14623620000000001</c:v>
                </c:pt>
                <c:pt idx="3">
                  <c:v>0.16734599999999999</c:v>
                </c:pt>
                <c:pt idx="4">
                  <c:v>0.1981629</c:v>
                </c:pt>
                <c:pt idx="5">
                  <c:v>0.1417484</c:v>
                </c:pt>
                <c:pt idx="6">
                  <c:v>0.1802763</c:v>
                </c:pt>
                <c:pt idx="7">
                  <c:v>0.2495859</c:v>
                </c:pt>
                <c:pt idx="8">
                  <c:v>0.27610649999999998</c:v>
                </c:pt>
                <c:pt idx="9">
                  <c:v>0.20839360000000001</c:v>
                </c:pt>
                <c:pt idx="10">
                  <c:v>0.29158440000000002</c:v>
                </c:pt>
                <c:pt idx="11">
                  <c:v>0.31635419999999997</c:v>
                </c:pt>
                <c:pt idx="12">
                  <c:v>0.30059019999999997</c:v>
                </c:pt>
                <c:pt idx="13">
                  <c:v>0.2000064</c:v>
                </c:pt>
                <c:pt idx="14">
                  <c:v>0.19721720000000001</c:v>
                </c:pt>
                <c:pt idx="15">
                  <c:v>0.22178210000000001</c:v>
                </c:pt>
                <c:pt idx="16">
                  <c:v>0.24278089999999999</c:v>
                </c:pt>
                <c:pt idx="17">
                  <c:v>0.2247285</c:v>
                </c:pt>
                <c:pt idx="18">
                  <c:v>0.26695390000000002</c:v>
                </c:pt>
                <c:pt idx="19">
                  <c:v>0.27421909999999999</c:v>
                </c:pt>
                <c:pt idx="20">
                  <c:v>0.31234410000000001</c:v>
                </c:pt>
                <c:pt idx="21">
                  <c:v>0.28310669999999999</c:v>
                </c:pt>
              </c:numCache>
            </c:numRef>
          </c:val>
          <c:smooth val="0"/>
          <c:extLst>
            <c:ext xmlns:c16="http://schemas.microsoft.com/office/drawing/2014/chart" uri="{C3380CC4-5D6E-409C-BE32-E72D297353CC}">
              <c16:uniqueId val="{00000003-6920-44CD-8A7F-3E066AB48C10}"/>
            </c:ext>
          </c:extLst>
        </c:ser>
        <c:ser>
          <c:idx val="3"/>
          <c:order val="4"/>
          <c:tx>
            <c:strRef>
              <c:f>'Figure 2.1.1.'!$Z$4</c:f>
              <c:strCache>
                <c:ptCount val="1"/>
                <c:pt idx="0">
                  <c:v>Lower unionization and centralization</c:v>
                </c:pt>
              </c:strCache>
            </c:strRef>
          </c:tx>
          <c:spPr>
            <a:ln w="38100" cap="rnd">
              <a:solidFill>
                <a:srgbClr val="CC3300"/>
              </a:solidFill>
              <a:round/>
            </a:ln>
            <a:effectLst/>
          </c:spPr>
          <c:marker>
            <c:symbol val="none"/>
          </c:marke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2.1.1.'!$Z$5:$Z$26</c:f>
              <c:numCache>
                <c:formatCode>0.0</c:formatCode>
                <c:ptCount val="22"/>
                <c:pt idx="0">
                  <c:v>0</c:v>
                </c:pt>
                <c:pt idx="1">
                  <c:v>0.1322026</c:v>
                </c:pt>
                <c:pt idx="2">
                  <c:v>0.1209615</c:v>
                </c:pt>
                <c:pt idx="3">
                  <c:v>9.3246599999999999E-2</c:v>
                </c:pt>
                <c:pt idx="4">
                  <c:v>7.1394899999999997E-2</c:v>
                </c:pt>
                <c:pt idx="5">
                  <c:v>9.0909299999999998E-2</c:v>
                </c:pt>
                <c:pt idx="6">
                  <c:v>8.8652099999999998E-2</c:v>
                </c:pt>
                <c:pt idx="7">
                  <c:v>0.1272576</c:v>
                </c:pt>
                <c:pt idx="8">
                  <c:v>0.1459724</c:v>
                </c:pt>
                <c:pt idx="9">
                  <c:v>8.2800700000000005E-2</c:v>
                </c:pt>
                <c:pt idx="10">
                  <c:v>-1.2217E-2</c:v>
                </c:pt>
                <c:pt idx="11">
                  <c:v>-1.38754E-2</c:v>
                </c:pt>
                <c:pt idx="12">
                  <c:v>3.0614800000000001E-2</c:v>
                </c:pt>
                <c:pt idx="13">
                  <c:v>-4.0892999999999997E-3</c:v>
                </c:pt>
                <c:pt idx="14">
                  <c:v>-8.92622E-2</c:v>
                </c:pt>
                <c:pt idx="15">
                  <c:v>-0.12559899999999999</c:v>
                </c:pt>
                <c:pt idx="16">
                  <c:v>-0.15486510000000001</c:v>
                </c:pt>
                <c:pt idx="17">
                  <c:v>-0.1909428</c:v>
                </c:pt>
                <c:pt idx="18">
                  <c:v>-0.20960380000000001</c:v>
                </c:pt>
                <c:pt idx="19">
                  <c:v>-0.1745988</c:v>
                </c:pt>
                <c:pt idx="20">
                  <c:v>-0.10062210000000001</c:v>
                </c:pt>
                <c:pt idx="21">
                  <c:v>-0.1069903</c:v>
                </c:pt>
              </c:numCache>
            </c:numRef>
          </c:val>
          <c:smooth val="0"/>
          <c:extLst>
            <c:ext xmlns:c16="http://schemas.microsoft.com/office/drawing/2014/chart" uri="{C3380CC4-5D6E-409C-BE32-E72D297353CC}">
              <c16:uniqueId val="{00000004-6920-44CD-8A7F-3E066AB48C10}"/>
            </c:ext>
          </c:extLst>
        </c:ser>
        <c:ser>
          <c:idx val="4"/>
          <c:order val="5"/>
          <c:tx>
            <c:strRef>
              <c:f>'Figure 2.1.1.'!$AA$4</c:f>
              <c:strCache>
                <c:ptCount val="1"/>
                <c:pt idx="0">
                  <c:v>ci90u_Lower unionization and centralization</c:v>
                </c:pt>
              </c:strCache>
            </c:strRef>
          </c:tx>
          <c:spPr>
            <a:ln w="28575" cap="rnd">
              <a:solidFill>
                <a:srgbClr val="CC3300"/>
              </a:solidFill>
              <a:prstDash val="sysDash"/>
              <a:round/>
            </a:ln>
            <a:effectLst/>
          </c:spPr>
          <c:marker>
            <c:symbol val="none"/>
          </c:marker>
          <c:cat>
            <c:numRef>
              <c:f>'Figure 2.1.1.'!$V$5:$V$26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2.1.1.'!$AA$5:$AA$26</c:f>
              <c:numCache>
                <c:formatCode>0.0</c:formatCode>
                <c:ptCount val="22"/>
                <c:pt idx="0">
                  <c:v>0</c:v>
                </c:pt>
                <c:pt idx="1">
                  <c:v>0.18376139999999999</c:v>
                </c:pt>
                <c:pt idx="2">
                  <c:v>0.1991579</c:v>
                </c:pt>
                <c:pt idx="3">
                  <c:v>0.1909836</c:v>
                </c:pt>
                <c:pt idx="4">
                  <c:v>0.18353610000000001</c:v>
                </c:pt>
                <c:pt idx="5">
                  <c:v>0.22129789999999999</c:v>
                </c:pt>
                <c:pt idx="6">
                  <c:v>0.19859689999999999</c:v>
                </c:pt>
                <c:pt idx="7">
                  <c:v>0.23449629999999999</c:v>
                </c:pt>
                <c:pt idx="8">
                  <c:v>0.2306956</c:v>
                </c:pt>
                <c:pt idx="9">
                  <c:v>0.17682200000000001</c:v>
                </c:pt>
                <c:pt idx="10">
                  <c:v>9.1093999999999994E-2</c:v>
                </c:pt>
                <c:pt idx="11">
                  <c:v>9.9742499999999998E-2</c:v>
                </c:pt>
                <c:pt idx="12">
                  <c:v>0.16071869999999999</c:v>
                </c:pt>
                <c:pt idx="13">
                  <c:v>0.11429309999999999</c:v>
                </c:pt>
                <c:pt idx="14">
                  <c:v>2.9544399999999998E-2</c:v>
                </c:pt>
                <c:pt idx="15">
                  <c:v>-7.0530000000000002E-3</c:v>
                </c:pt>
                <c:pt idx="16">
                  <c:v>-1.61583E-2</c:v>
                </c:pt>
                <c:pt idx="17">
                  <c:v>-2.3665200000000001E-2</c:v>
                </c:pt>
                <c:pt idx="18">
                  <c:v>-5.2803099999999999E-2</c:v>
                </c:pt>
                <c:pt idx="19">
                  <c:v>-2.4913999999999999E-2</c:v>
                </c:pt>
                <c:pt idx="20">
                  <c:v>3.3856499999999998E-2</c:v>
                </c:pt>
                <c:pt idx="21">
                  <c:v>1.11559E-2</c:v>
                </c:pt>
              </c:numCache>
            </c:numRef>
          </c:val>
          <c:smooth val="0"/>
          <c:extLst>
            <c:ext xmlns:c16="http://schemas.microsoft.com/office/drawing/2014/chart" uri="{C3380CC4-5D6E-409C-BE32-E72D297353CC}">
              <c16:uniqueId val="{00000005-6920-44CD-8A7F-3E066AB48C10}"/>
            </c:ext>
          </c:extLst>
        </c:ser>
        <c:dLbls>
          <c:showLegendKey val="0"/>
          <c:showVal val="0"/>
          <c:showCatName val="0"/>
          <c:showSerName val="0"/>
          <c:showPercent val="0"/>
          <c:showBubbleSize val="0"/>
        </c:dLbls>
        <c:marker val="1"/>
        <c:smooth val="0"/>
        <c:axId val="444401679"/>
        <c:axId val="444395023"/>
      </c:lineChart>
      <c:catAx>
        <c:axId val="444401679"/>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395023"/>
        <c:crosses val="autoZero"/>
        <c:auto val="1"/>
        <c:lblAlgn val="ctr"/>
        <c:lblOffset val="100"/>
        <c:noMultiLvlLbl val="0"/>
      </c:catAx>
      <c:valAx>
        <c:axId val="444395023"/>
        <c:scaling>
          <c:orientation val="minMax"/>
          <c:max val="0.60000000000000009"/>
          <c:min val="-0.8"/>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401679"/>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5"/>
        <c:delete val="1"/>
      </c:legendEntry>
      <c:layout>
        <c:manualLayout>
          <c:xMode val="edge"/>
          <c:yMode val="edge"/>
          <c:x val="0.21776848157840709"/>
          <c:y val="0.66882108486439196"/>
          <c:w val="0.77306681609220684"/>
          <c:h val="0.214441163604549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62256546399708"/>
          <c:y val="4.7158918035250227E-2"/>
          <c:w val="0.72947221119756123"/>
          <c:h val="0.83769116698113766"/>
        </c:manualLayout>
      </c:layout>
      <c:areaChart>
        <c:grouping val="standard"/>
        <c:varyColors val="0"/>
        <c:ser>
          <c:idx val="1"/>
          <c:order val="1"/>
          <c:tx>
            <c:strRef>
              <c:f>'Figure 2.1.1.'!$AN$4</c:f>
              <c:strCache>
                <c:ptCount val="1"/>
                <c:pt idx="0">
                  <c:v>ci90u</c:v>
                </c:pt>
              </c:strCache>
            </c:strRef>
          </c:tx>
          <c:spPr>
            <a:solidFill>
              <a:schemeClr val="accent1">
                <a:lumMod val="60000"/>
                <a:lumOff val="40000"/>
              </a:schemeClr>
            </a:solidFill>
            <a:ln>
              <a:noFill/>
              <a:prstDash val="sysDash"/>
            </a:ln>
            <a:effectLst/>
          </c:spP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2.1.1.'!$AN$5:$AN$26</c:f>
              <c:numCache>
                <c:formatCode>0.0</c:formatCode>
                <c:ptCount val="22"/>
                <c:pt idx="0">
                  <c:v>0</c:v>
                </c:pt>
                <c:pt idx="1">
                  <c:v>5.5541000000000002E-3</c:v>
                </c:pt>
                <c:pt idx="2">
                  <c:v>1.35377E-2</c:v>
                </c:pt>
                <c:pt idx="3">
                  <c:v>2.03523E-2</c:v>
                </c:pt>
                <c:pt idx="4">
                  <c:v>2.3536999999999999E-2</c:v>
                </c:pt>
                <c:pt idx="5">
                  <c:v>3.7367600000000001E-2</c:v>
                </c:pt>
                <c:pt idx="6">
                  <c:v>5.9655100000000003E-2</c:v>
                </c:pt>
                <c:pt idx="7">
                  <c:v>7.7962900000000002E-2</c:v>
                </c:pt>
                <c:pt idx="8">
                  <c:v>8.9927099999999996E-2</c:v>
                </c:pt>
                <c:pt idx="9">
                  <c:v>0.1021276</c:v>
                </c:pt>
                <c:pt idx="10">
                  <c:v>0.1232297</c:v>
                </c:pt>
                <c:pt idx="11">
                  <c:v>0.1385054</c:v>
                </c:pt>
                <c:pt idx="12">
                  <c:v>0.15313879999999999</c:v>
                </c:pt>
                <c:pt idx="13">
                  <c:v>0.17505580000000001</c:v>
                </c:pt>
                <c:pt idx="14">
                  <c:v>0.19513649999999999</c:v>
                </c:pt>
                <c:pt idx="15">
                  <c:v>0.197519</c:v>
                </c:pt>
                <c:pt idx="16">
                  <c:v>0.18813840000000001</c:v>
                </c:pt>
                <c:pt idx="17">
                  <c:v>0.1878408</c:v>
                </c:pt>
                <c:pt idx="18">
                  <c:v>0.19861190000000001</c:v>
                </c:pt>
                <c:pt idx="19">
                  <c:v>0.20246220000000001</c:v>
                </c:pt>
                <c:pt idx="20">
                  <c:v>0.18786929999999999</c:v>
                </c:pt>
                <c:pt idx="21">
                  <c:v>0.17626910000000001</c:v>
                </c:pt>
              </c:numCache>
            </c:numRef>
          </c:val>
          <c:extLst>
            <c:ext xmlns:c16="http://schemas.microsoft.com/office/drawing/2014/chart" uri="{C3380CC4-5D6E-409C-BE32-E72D297353CC}">
              <c16:uniqueId val="{00000000-3656-4FB5-A4A6-C0AA988012D9}"/>
            </c:ext>
          </c:extLst>
        </c:ser>
        <c:ser>
          <c:idx val="2"/>
          <c:order val="2"/>
          <c:tx>
            <c:strRef>
              <c:f>'Figure 2.1.1.'!$AO$4</c:f>
              <c:strCache>
                <c:ptCount val="1"/>
                <c:pt idx="0">
                  <c:v>ci90d</c:v>
                </c:pt>
              </c:strCache>
            </c:strRef>
          </c:tx>
          <c:spPr>
            <a:gradFill>
              <a:gsLst>
                <a:gs pos="71000">
                  <a:schemeClr val="bg1"/>
                </a:gs>
                <a:gs pos="72000">
                  <a:schemeClr val="accent1">
                    <a:lumMod val="60000"/>
                    <a:lumOff val="40000"/>
                  </a:schemeClr>
                </a:gs>
              </a:gsLst>
              <a:lin ang="5400000" scaled="1"/>
            </a:gradFill>
            <a:ln>
              <a:noFill/>
              <a:prstDash val="sysDash"/>
            </a:ln>
            <a:effectLst/>
          </c:spP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2.1.1.'!$AO$5:$AO$26</c:f>
              <c:numCache>
                <c:formatCode>0.0</c:formatCode>
                <c:ptCount val="22"/>
                <c:pt idx="0">
                  <c:v>0</c:v>
                </c:pt>
                <c:pt idx="1">
                  <c:v>-3.6013999999999998E-3</c:v>
                </c:pt>
                <c:pt idx="2">
                  <c:v>-5.7815999999999996E-3</c:v>
                </c:pt>
                <c:pt idx="3">
                  <c:v>-9.7260999999999997E-3</c:v>
                </c:pt>
                <c:pt idx="4">
                  <c:v>-1.8825999999999999E-2</c:v>
                </c:pt>
                <c:pt idx="5">
                  <c:v>-1.46564E-2</c:v>
                </c:pt>
                <c:pt idx="6">
                  <c:v>-3.2804000000000002E-3</c:v>
                </c:pt>
                <c:pt idx="7">
                  <c:v>-1.2600999999999999E-3</c:v>
                </c:pt>
                <c:pt idx="8">
                  <c:v>-6.5401000000000001E-3</c:v>
                </c:pt>
                <c:pt idx="9">
                  <c:v>-4.9160999999999996E-3</c:v>
                </c:pt>
                <c:pt idx="10">
                  <c:v>-6.3195999999999999E-3</c:v>
                </c:pt>
                <c:pt idx="11">
                  <c:v>-6.1926000000000004E-3</c:v>
                </c:pt>
                <c:pt idx="12">
                  <c:v>-7.0699999999999995E-4</c:v>
                </c:pt>
                <c:pt idx="13">
                  <c:v>1.39899E-2</c:v>
                </c:pt>
                <c:pt idx="14">
                  <c:v>2.4795399999999999E-2</c:v>
                </c:pt>
                <c:pt idx="15">
                  <c:v>3.2486399999999999E-2</c:v>
                </c:pt>
                <c:pt idx="16">
                  <c:v>3.7699900000000001E-2</c:v>
                </c:pt>
                <c:pt idx="17">
                  <c:v>4.5288799999999997E-2</c:v>
                </c:pt>
                <c:pt idx="18">
                  <c:v>5.0520500000000003E-2</c:v>
                </c:pt>
                <c:pt idx="19">
                  <c:v>5.3648000000000001E-2</c:v>
                </c:pt>
                <c:pt idx="20">
                  <c:v>4.5294000000000001E-2</c:v>
                </c:pt>
                <c:pt idx="21">
                  <c:v>4.9276100000000003E-2</c:v>
                </c:pt>
              </c:numCache>
            </c:numRef>
          </c:val>
          <c:extLst>
            <c:ext xmlns:c16="http://schemas.microsoft.com/office/drawing/2014/chart" uri="{C3380CC4-5D6E-409C-BE32-E72D297353CC}">
              <c16:uniqueId val="{00000001-3656-4FB5-A4A6-C0AA988012D9}"/>
            </c:ext>
          </c:extLst>
        </c:ser>
        <c:dLbls>
          <c:showLegendKey val="0"/>
          <c:showVal val="0"/>
          <c:showCatName val="0"/>
          <c:showSerName val="0"/>
          <c:showPercent val="0"/>
          <c:showBubbleSize val="0"/>
        </c:dLbls>
        <c:axId val="444401679"/>
        <c:axId val="444395023"/>
      </c:areaChart>
      <c:lineChart>
        <c:grouping val="standard"/>
        <c:varyColors val="0"/>
        <c:ser>
          <c:idx val="0"/>
          <c:order val="0"/>
          <c:tx>
            <c:strRef>
              <c:f>'Figure 2.1.1.'!$AM$4</c:f>
              <c:strCache>
                <c:ptCount val="1"/>
                <c:pt idx="0">
                  <c:v>Higher unionization and centralization</c:v>
                </c:pt>
              </c:strCache>
            </c:strRef>
          </c:tx>
          <c:spPr>
            <a:ln w="38100" cap="rnd">
              <a:solidFill>
                <a:schemeClr val="accent1"/>
              </a:solidFill>
              <a:round/>
            </a:ln>
            <a:effectLst/>
          </c:spPr>
          <c:marker>
            <c:symbol val="none"/>
          </c:marke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2.1.1.'!$AM$5:$AM$26</c:f>
              <c:numCache>
                <c:formatCode>0.0</c:formatCode>
                <c:ptCount val="22"/>
                <c:pt idx="0">
                  <c:v>0</c:v>
                </c:pt>
                <c:pt idx="1">
                  <c:v>9.7639999999999999E-4</c:v>
                </c:pt>
                <c:pt idx="2">
                  <c:v>3.8779999999999999E-3</c:v>
                </c:pt>
                <c:pt idx="3">
                  <c:v>5.3131000000000003E-3</c:v>
                </c:pt>
                <c:pt idx="4">
                  <c:v>2.3555E-3</c:v>
                </c:pt>
                <c:pt idx="5">
                  <c:v>1.13556E-2</c:v>
                </c:pt>
                <c:pt idx="6">
                  <c:v>2.8187299999999998E-2</c:v>
                </c:pt>
                <c:pt idx="7">
                  <c:v>3.8351400000000001E-2</c:v>
                </c:pt>
                <c:pt idx="8">
                  <c:v>4.1693500000000001E-2</c:v>
                </c:pt>
                <c:pt idx="9">
                  <c:v>4.8605700000000002E-2</c:v>
                </c:pt>
                <c:pt idx="10">
                  <c:v>5.8455E-2</c:v>
                </c:pt>
                <c:pt idx="11">
                  <c:v>6.6156400000000004E-2</c:v>
                </c:pt>
                <c:pt idx="12">
                  <c:v>7.6215900000000003E-2</c:v>
                </c:pt>
                <c:pt idx="13">
                  <c:v>9.4522800000000004E-2</c:v>
                </c:pt>
                <c:pt idx="14">
                  <c:v>0.10996590000000001</c:v>
                </c:pt>
                <c:pt idx="15">
                  <c:v>0.1150027</c:v>
                </c:pt>
                <c:pt idx="16">
                  <c:v>0.1129192</c:v>
                </c:pt>
                <c:pt idx="17">
                  <c:v>0.1165648</c:v>
                </c:pt>
                <c:pt idx="18">
                  <c:v>0.1245662</c:v>
                </c:pt>
                <c:pt idx="19">
                  <c:v>0.12805510000000001</c:v>
                </c:pt>
                <c:pt idx="20">
                  <c:v>0.11658159999999999</c:v>
                </c:pt>
                <c:pt idx="21">
                  <c:v>0.1127726</c:v>
                </c:pt>
              </c:numCache>
            </c:numRef>
          </c:val>
          <c:smooth val="0"/>
          <c:extLst>
            <c:ext xmlns:c16="http://schemas.microsoft.com/office/drawing/2014/chart" uri="{C3380CC4-5D6E-409C-BE32-E72D297353CC}">
              <c16:uniqueId val="{00000002-3656-4FB5-A4A6-C0AA988012D9}"/>
            </c:ext>
          </c:extLst>
        </c:ser>
        <c:ser>
          <c:idx val="3"/>
          <c:order val="3"/>
          <c:tx>
            <c:strRef>
              <c:f>'Figure 2.1.1.'!$AP$4</c:f>
              <c:strCache>
                <c:ptCount val="1"/>
                <c:pt idx="0">
                  <c:v>Lower unionization and centralization</c:v>
                </c:pt>
              </c:strCache>
            </c:strRef>
          </c:tx>
          <c:spPr>
            <a:ln w="38100" cap="rnd">
              <a:solidFill>
                <a:srgbClr val="CC3300"/>
              </a:solidFill>
              <a:round/>
            </a:ln>
            <a:effectLst/>
          </c:spPr>
          <c:marker>
            <c:symbol val="none"/>
          </c:marke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2.1.1.'!$AP$5:$AP$26</c:f>
              <c:numCache>
                <c:formatCode>0.0</c:formatCode>
                <c:ptCount val="22"/>
                <c:pt idx="0">
                  <c:v>0</c:v>
                </c:pt>
                <c:pt idx="1">
                  <c:v>6.0353000000000004E-3</c:v>
                </c:pt>
                <c:pt idx="2">
                  <c:v>1.13822E-2</c:v>
                </c:pt>
                <c:pt idx="3">
                  <c:v>1.7273400000000001E-2</c:v>
                </c:pt>
                <c:pt idx="4">
                  <c:v>2.1568E-2</c:v>
                </c:pt>
                <c:pt idx="5">
                  <c:v>2.5070100000000001E-2</c:v>
                </c:pt>
                <c:pt idx="6">
                  <c:v>3.2773700000000003E-2</c:v>
                </c:pt>
                <c:pt idx="7">
                  <c:v>3.4709299999999998E-2</c:v>
                </c:pt>
                <c:pt idx="8">
                  <c:v>3.2807000000000003E-2</c:v>
                </c:pt>
                <c:pt idx="9">
                  <c:v>3.6252899999999998E-2</c:v>
                </c:pt>
                <c:pt idx="10">
                  <c:v>4.3817700000000001E-2</c:v>
                </c:pt>
                <c:pt idx="11">
                  <c:v>4.5137999999999998E-2</c:v>
                </c:pt>
                <c:pt idx="12">
                  <c:v>4.7123400000000003E-2</c:v>
                </c:pt>
                <c:pt idx="13">
                  <c:v>5.0418200000000003E-2</c:v>
                </c:pt>
                <c:pt idx="14">
                  <c:v>4.8403300000000003E-2</c:v>
                </c:pt>
                <c:pt idx="15">
                  <c:v>4.7120200000000001E-2</c:v>
                </c:pt>
                <c:pt idx="16">
                  <c:v>4.6807700000000001E-2</c:v>
                </c:pt>
                <c:pt idx="17">
                  <c:v>4.9832799999999997E-2</c:v>
                </c:pt>
                <c:pt idx="18">
                  <c:v>4.9995299999999999E-2</c:v>
                </c:pt>
                <c:pt idx="19">
                  <c:v>4.80048E-2</c:v>
                </c:pt>
                <c:pt idx="20">
                  <c:v>4.6725099999999999E-2</c:v>
                </c:pt>
                <c:pt idx="21">
                  <c:v>4.8295600000000001E-2</c:v>
                </c:pt>
              </c:numCache>
            </c:numRef>
          </c:val>
          <c:smooth val="0"/>
          <c:extLst>
            <c:ext xmlns:c16="http://schemas.microsoft.com/office/drawing/2014/chart" uri="{C3380CC4-5D6E-409C-BE32-E72D297353CC}">
              <c16:uniqueId val="{00000003-3656-4FB5-A4A6-C0AA988012D9}"/>
            </c:ext>
          </c:extLst>
        </c:ser>
        <c:ser>
          <c:idx val="4"/>
          <c:order val="4"/>
          <c:tx>
            <c:strRef>
              <c:f>'Figure 2.1.1.'!$AQ$4</c:f>
              <c:strCache>
                <c:ptCount val="1"/>
                <c:pt idx="0">
                  <c:v>ci90u</c:v>
                </c:pt>
              </c:strCache>
            </c:strRef>
          </c:tx>
          <c:spPr>
            <a:ln w="28575" cap="rnd">
              <a:solidFill>
                <a:srgbClr val="CC3300"/>
              </a:solidFill>
              <a:prstDash val="sysDash"/>
              <a:round/>
            </a:ln>
            <a:effectLst/>
          </c:spPr>
          <c:marker>
            <c:symbol val="none"/>
          </c:marke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2.1.1.'!$AQ$5:$AQ$26</c:f>
              <c:numCache>
                <c:formatCode>0.0</c:formatCode>
                <c:ptCount val="22"/>
                <c:pt idx="0">
                  <c:v>0</c:v>
                </c:pt>
                <c:pt idx="1">
                  <c:v>9.7636000000000008E-3</c:v>
                </c:pt>
                <c:pt idx="2">
                  <c:v>1.9858899999999999E-2</c:v>
                </c:pt>
                <c:pt idx="3">
                  <c:v>3.15287E-2</c:v>
                </c:pt>
                <c:pt idx="4">
                  <c:v>4.01409E-2</c:v>
                </c:pt>
                <c:pt idx="5">
                  <c:v>4.7065799999999998E-2</c:v>
                </c:pt>
                <c:pt idx="6">
                  <c:v>5.69157E-2</c:v>
                </c:pt>
                <c:pt idx="7">
                  <c:v>6.1388600000000001E-2</c:v>
                </c:pt>
                <c:pt idx="8">
                  <c:v>6.3027E-2</c:v>
                </c:pt>
                <c:pt idx="9">
                  <c:v>6.9250099999999995E-2</c:v>
                </c:pt>
                <c:pt idx="10">
                  <c:v>7.6128899999999999E-2</c:v>
                </c:pt>
                <c:pt idx="11">
                  <c:v>7.7374200000000004E-2</c:v>
                </c:pt>
                <c:pt idx="12">
                  <c:v>7.88851E-2</c:v>
                </c:pt>
                <c:pt idx="13">
                  <c:v>8.0696100000000007E-2</c:v>
                </c:pt>
                <c:pt idx="14">
                  <c:v>7.9668799999999998E-2</c:v>
                </c:pt>
                <c:pt idx="15">
                  <c:v>8.1742300000000004E-2</c:v>
                </c:pt>
                <c:pt idx="16">
                  <c:v>8.3811399999999994E-2</c:v>
                </c:pt>
                <c:pt idx="17">
                  <c:v>9.0822700000000006E-2</c:v>
                </c:pt>
                <c:pt idx="18">
                  <c:v>9.6464499999999995E-2</c:v>
                </c:pt>
                <c:pt idx="19">
                  <c:v>9.4578800000000005E-2</c:v>
                </c:pt>
                <c:pt idx="20">
                  <c:v>9.3830800000000006E-2</c:v>
                </c:pt>
                <c:pt idx="21">
                  <c:v>9.8041199999999995E-2</c:v>
                </c:pt>
              </c:numCache>
            </c:numRef>
          </c:val>
          <c:smooth val="0"/>
          <c:extLst>
            <c:ext xmlns:c16="http://schemas.microsoft.com/office/drawing/2014/chart" uri="{C3380CC4-5D6E-409C-BE32-E72D297353CC}">
              <c16:uniqueId val="{00000004-3656-4FB5-A4A6-C0AA988012D9}"/>
            </c:ext>
          </c:extLst>
        </c:ser>
        <c:ser>
          <c:idx val="5"/>
          <c:order val="5"/>
          <c:tx>
            <c:strRef>
              <c:f>'Figure 2.1.1.'!$AR$4</c:f>
              <c:strCache>
                <c:ptCount val="1"/>
                <c:pt idx="0">
                  <c:v>ci90d</c:v>
                </c:pt>
              </c:strCache>
            </c:strRef>
          </c:tx>
          <c:spPr>
            <a:ln w="28575" cap="rnd">
              <a:solidFill>
                <a:srgbClr val="CC3300"/>
              </a:solidFill>
              <a:prstDash val="sysDash"/>
              <a:round/>
            </a:ln>
            <a:effectLst/>
          </c:spPr>
          <c:marker>
            <c:symbol val="none"/>
          </c:marker>
          <c:cat>
            <c:numRef>
              <c:f>'Figure 2.1.1.'!$AL$5:$AL$26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2.1.1.'!$AR$5:$AR$26</c:f>
              <c:numCache>
                <c:formatCode>0.0</c:formatCode>
                <c:ptCount val="22"/>
                <c:pt idx="0">
                  <c:v>0</c:v>
                </c:pt>
                <c:pt idx="1">
                  <c:v>2.3069000000000002E-3</c:v>
                </c:pt>
                <c:pt idx="2">
                  <c:v>2.9055999999999999E-3</c:v>
                </c:pt>
                <c:pt idx="3">
                  <c:v>3.0182E-3</c:v>
                </c:pt>
                <c:pt idx="4">
                  <c:v>2.9951000000000001E-3</c:v>
                </c:pt>
                <c:pt idx="5">
                  <c:v>3.0742999999999999E-3</c:v>
                </c:pt>
                <c:pt idx="6">
                  <c:v>8.6317000000000008E-3</c:v>
                </c:pt>
                <c:pt idx="7">
                  <c:v>8.0301000000000001E-3</c:v>
                </c:pt>
                <c:pt idx="8">
                  <c:v>2.5871000000000002E-3</c:v>
                </c:pt>
                <c:pt idx="9">
                  <c:v>3.2556999999999998E-3</c:v>
                </c:pt>
                <c:pt idx="10">
                  <c:v>1.1506499999999999E-2</c:v>
                </c:pt>
                <c:pt idx="11">
                  <c:v>1.29017E-2</c:v>
                </c:pt>
                <c:pt idx="12">
                  <c:v>1.5361700000000001E-2</c:v>
                </c:pt>
                <c:pt idx="13">
                  <c:v>2.01403E-2</c:v>
                </c:pt>
                <c:pt idx="14">
                  <c:v>1.7137800000000002E-2</c:v>
                </c:pt>
                <c:pt idx="15">
                  <c:v>1.2498199999999999E-2</c:v>
                </c:pt>
                <c:pt idx="16">
                  <c:v>9.8040999999999996E-3</c:v>
                </c:pt>
                <c:pt idx="17">
                  <c:v>8.8429000000000008E-3</c:v>
                </c:pt>
                <c:pt idx="18">
                  <c:v>3.5260999999999999E-3</c:v>
                </c:pt>
                <c:pt idx="19">
                  <c:v>1.4307E-3</c:v>
                </c:pt>
                <c:pt idx="20">
                  <c:v>-3.8059999999999998E-4</c:v>
                </c:pt>
                <c:pt idx="21">
                  <c:v>-1.4499000000000001E-3</c:v>
                </c:pt>
              </c:numCache>
            </c:numRef>
          </c:val>
          <c:smooth val="0"/>
          <c:extLst>
            <c:ext xmlns:c16="http://schemas.microsoft.com/office/drawing/2014/chart" uri="{C3380CC4-5D6E-409C-BE32-E72D297353CC}">
              <c16:uniqueId val="{00000005-3656-4FB5-A4A6-C0AA988012D9}"/>
            </c:ext>
          </c:extLst>
        </c:ser>
        <c:dLbls>
          <c:showLegendKey val="0"/>
          <c:showVal val="0"/>
          <c:showCatName val="0"/>
          <c:showSerName val="0"/>
          <c:showPercent val="0"/>
          <c:showBubbleSize val="0"/>
        </c:dLbls>
        <c:marker val="1"/>
        <c:smooth val="0"/>
        <c:axId val="444401679"/>
        <c:axId val="444395023"/>
      </c:lineChart>
      <c:catAx>
        <c:axId val="444401679"/>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395023"/>
        <c:crosses val="autoZero"/>
        <c:auto val="1"/>
        <c:lblAlgn val="ctr"/>
        <c:lblOffset val="100"/>
        <c:noMultiLvlLbl val="0"/>
      </c:catAx>
      <c:valAx>
        <c:axId val="444395023"/>
        <c:scaling>
          <c:orientation val="minMax"/>
          <c:max val="0.30000000000000004"/>
          <c:min val="-0.1"/>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401679"/>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51555340724851"/>
          <c:y val="4.8394028871391076E-2"/>
          <c:w val="0.7298128671123445"/>
          <c:h val="0.83344023403324585"/>
        </c:manualLayout>
      </c:layout>
      <c:areaChart>
        <c:grouping val="standard"/>
        <c:varyColors val="0"/>
        <c:ser>
          <c:idx val="1"/>
          <c:order val="1"/>
          <c:tx>
            <c:strRef>
              <c:f>'Figure 2.1.1.'!$AF$4</c:f>
              <c:strCache>
                <c:ptCount val="1"/>
                <c:pt idx="0">
                  <c:v>ci90b</c:v>
                </c:pt>
              </c:strCache>
            </c:strRef>
          </c:tx>
          <c:spPr>
            <a:solidFill>
              <a:srgbClr val="AA71D5"/>
            </a:solidFill>
            <a:ln>
              <a:noFill/>
              <a:prstDash val="sysDash"/>
            </a:ln>
            <a:effectLst/>
          </c:spP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2.1.1.'!$AF$5:$AF$26</c:f>
              <c:numCache>
                <c:formatCode>0.0</c:formatCode>
                <c:ptCount val="22"/>
                <c:pt idx="0">
                  <c:v>0</c:v>
                </c:pt>
                <c:pt idx="1">
                  <c:v>0.24931429999999999</c:v>
                </c:pt>
                <c:pt idx="2">
                  <c:v>0.27898129999999999</c:v>
                </c:pt>
                <c:pt idx="3">
                  <c:v>0.29199409999999998</c:v>
                </c:pt>
                <c:pt idx="4">
                  <c:v>0.39799420000000002</c:v>
                </c:pt>
                <c:pt idx="5">
                  <c:v>0.37385069999999998</c:v>
                </c:pt>
                <c:pt idx="6">
                  <c:v>0.41688700000000001</c:v>
                </c:pt>
                <c:pt idx="7">
                  <c:v>0.47717399999999999</c:v>
                </c:pt>
                <c:pt idx="8">
                  <c:v>0.51411569999999995</c:v>
                </c:pt>
                <c:pt idx="9">
                  <c:v>0.46398780000000001</c:v>
                </c:pt>
                <c:pt idx="10">
                  <c:v>0.41624090000000002</c:v>
                </c:pt>
                <c:pt idx="11">
                  <c:v>0.43410379999999998</c:v>
                </c:pt>
                <c:pt idx="12">
                  <c:v>0.53408310000000003</c:v>
                </c:pt>
                <c:pt idx="13">
                  <c:v>0.44582529999999998</c:v>
                </c:pt>
                <c:pt idx="14">
                  <c:v>0.40155629999999998</c:v>
                </c:pt>
                <c:pt idx="15">
                  <c:v>0.37351299999999998</c:v>
                </c:pt>
                <c:pt idx="16">
                  <c:v>0.34092040000000001</c:v>
                </c:pt>
                <c:pt idx="17">
                  <c:v>0.27548270000000002</c:v>
                </c:pt>
                <c:pt idx="18">
                  <c:v>0.28301290000000001</c:v>
                </c:pt>
                <c:pt idx="19">
                  <c:v>0.26998119999999998</c:v>
                </c:pt>
                <c:pt idx="20">
                  <c:v>0.3253047</c:v>
                </c:pt>
                <c:pt idx="21">
                  <c:v>0.31425750000000002</c:v>
                </c:pt>
              </c:numCache>
            </c:numRef>
          </c:val>
          <c:extLst>
            <c:ext xmlns:c16="http://schemas.microsoft.com/office/drawing/2014/chart" uri="{C3380CC4-5D6E-409C-BE32-E72D297353CC}">
              <c16:uniqueId val="{00000000-F372-4868-BC3C-01B310EC3477}"/>
            </c:ext>
          </c:extLst>
        </c:ser>
        <c:ser>
          <c:idx val="2"/>
          <c:order val="2"/>
          <c:tx>
            <c:strRef>
              <c:f>'Figure 2.1.1.'!$AG$4</c:f>
              <c:strCache>
                <c:ptCount val="1"/>
                <c:pt idx="0">
                  <c:v>ci90b</c:v>
                </c:pt>
              </c:strCache>
            </c:strRef>
          </c:tx>
          <c:spPr>
            <a:gradFill>
              <a:gsLst>
                <a:gs pos="45000">
                  <a:schemeClr val="accent1">
                    <a:lumMod val="0"/>
                    <a:lumOff val="100000"/>
                  </a:schemeClr>
                </a:gs>
                <a:gs pos="45000">
                  <a:srgbClr val="AA71D5"/>
                </a:gs>
              </a:gsLst>
              <a:lin ang="5400000" scaled="1"/>
            </a:gradFill>
            <a:ln>
              <a:noFill/>
              <a:prstDash val="sysDash"/>
            </a:ln>
            <a:effectLst/>
          </c:spP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2.1.1.'!$AG$5:$AG$26</c:f>
              <c:numCache>
                <c:formatCode>0.0</c:formatCode>
                <c:ptCount val="22"/>
                <c:pt idx="0">
                  <c:v>0</c:v>
                </c:pt>
                <c:pt idx="1">
                  <c:v>9.4026899999999997E-2</c:v>
                </c:pt>
                <c:pt idx="2">
                  <c:v>0.11928039999999999</c:v>
                </c:pt>
                <c:pt idx="3">
                  <c:v>8.7979299999999996E-2</c:v>
                </c:pt>
                <c:pt idx="4">
                  <c:v>0.1878271</c:v>
                </c:pt>
                <c:pt idx="5">
                  <c:v>0.1735689</c:v>
                </c:pt>
                <c:pt idx="6">
                  <c:v>0.12519259999999999</c:v>
                </c:pt>
                <c:pt idx="7">
                  <c:v>0.14393800000000001</c:v>
                </c:pt>
                <c:pt idx="8">
                  <c:v>0.19501170000000001</c:v>
                </c:pt>
                <c:pt idx="9">
                  <c:v>0.16426760000000001</c:v>
                </c:pt>
                <c:pt idx="10">
                  <c:v>7.5994800000000001E-2</c:v>
                </c:pt>
                <c:pt idx="11">
                  <c:v>8.2376000000000005E-2</c:v>
                </c:pt>
                <c:pt idx="12">
                  <c:v>0.10270840000000001</c:v>
                </c:pt>
                <c:pt idx="13">
                  <c:v>3.7487199999999998E-2</c:v>
                </c:pt>
                <c:pt idx="14">
                  <c:v>-0.1197608</c:v>
                </c:pt>
                <c:pt idx="15">
                  <c:v>-0.105015</c:v>
                </c:pt>
                <c:pt idx="16">
                  <c:v>-0.12259539999999999</c:v>
                </c:pt>
                <c:pt idx="17">
                  <c:v>-0.15386820000000001</c:v>
                </c:pt>
                <c:pt idx="18">
                  <c:v>-0.23613719999999999</c:v>
                </c:pt>
                <c:pt idx="19">
                  <c:v>-0.22684460000000001</c:v>
                </c:pt>
                <c:pt idx="20">
                  <c:v>-0.17069409999999999</c:v>
                </c:pt>
                <c:pt idx="21">
                  <c:v>-0.1214302</c:v>
                </c:pt>
              </c:numCache>
            </c:numRef>
          </c:val>
          <c:extLst>
            <c:ext xmlns:c16="http://schemas.microsoft.com/office/drawing/2014/chart" uri="{C3380CC4-5D6E-409C-BE32-E72D297353CC}">
              <c16:uniqueId val="{00000001-F372-4868-BC3C-01B310EC3477}"/>
            </c:ext>
          </c:extLst>
        </c:ser>
        <c:dLbls>
          <c:showLegendKey val="0"/>
          <c:showVal val="0"/>
          <c:showCatName val="0"/>
          <c:showSerName val="0"/>
          <c:showPercent val="0"/>
          <c:showBubbleSize val="0"/>
        </c:dLbls>
        <c:axId val="444401679"/>
        <c:axId val="444395023"/>
      </c:areaChart>
      <c:lineChart>
        <c:grouping val="standard"/>
        <c:varyColors val="0"/>
        <c:ser>
          <c:idx val="0"/>
          <c:order val="0"/>
          <c:tx>
            <c:strRef>
              <c:f>'Figure 2.1.1.'!$AE$4</c:f>
              <c:strCache>
                <c:ptCount val="1"/>
                <c:pt idx="0">
                  <c:v>Tighter labor markets</c:v>
                </c:pt>
              </c:strCache>
            </c:strRef>
          </c:tx>
          <c:spPr>
            <a:ln w="38100" cap="rnd">
              <a:solidFill>
                <a:srgbClr val="5E005E"/>
              </a:solidFill>
              <a:round/>
            </a:ln>
            <a:effectLst/>
          </c:spPr>
          <c:marker>
            <c:symbol val="none"/>
          </c:marke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2.1.1.'!$AE$5:$AE$26</c:f>
              <c:numCache>
                <c:formatCode>0.0</c:formatCode>
                <c:ptCount val="22"/>
                <c:pt idx="0">
                  <c:v>0</c:v>
                </c:pt>
                <c:pt idx="1">
                  <c:v>0.17167060000000001</c:v>
                </c:pt>
                <c:pt idx="2">
                  <c:v>0.1991308</c:v>
                </c:pt>
                <c:pt idx="3">
                  <c:v>0.18998670000000001</c:v>
                </c:pt>
                <c:pt idx="4">
                  <c:v>0.29291060000000002</c:v>
                </c:pt>
                <c:pt idx="5">
                  <c:v>0.2737098</c:v>
                </c:pt>
                <c:pt idx="6">
                  <c:v>0.2710398</c:v>
                </c:pt>
                <c:pt idx="7">
                  <c:v>0.310556</c:v>
                </c:pt>
                <c:pt idx="8">
                  <c:v>0.35456369999999998</c:v>
                </c:pt>
                <c:pt idx="9">
                  <c:v>0.31412770000000001</c:v>
                </c:pt>
                <c:pt idx="10">
                  <c:v>0.2461179</c:v>
                </c:pt>
                <c:pt idx="11">
                  <c:v>0.25823990000000002</c:v>
                </c:pt>
                <c:pt idx="12">
                  <c:v>0.31839580000000001</c:v>
                </c:pt>
                <c:pt idx="13">
                  <c:v>0.24165619999999999</c:v>
                </c:pt>
                <c:pt idx="14">
                  <c:v>0.14089769999999999</c:v>
                </c:pt>
                <c:pt idx="15">
                  <c:v>0.13424900000000001</c:v>
                </c:pt>
                <c:pt idx="16">
                  <c:v>0.1091625</c:v>
                </c:pt>
                <c:pt idx="17">
                  <c:v>6.0807199999999999E-2</c:v>
                </c:pt>
                <c:pt idx="18">
                  <c:v>2.3437900000000001E-2</c:v>
                </c:pt>
                <c:pt idx="19">
                  <c:v>2.1568299999999999E-2</c:v>
                </c:pt>
                <c:pt idx="20">
                  <c:v>7.7305299999999993E-2</c:v>
                </c:pt>
                <c:pt idx="21">
                  <c:v>9.6413600000000002E-2</c:v>
                </c:pt>
              </c:numCache>
            </c:numRef>
          </c:val>
          <c:smooth val="0"/>
          <c:extLst>
            <c:ext xmlns:c16="http://schemas.microsoft.com/office/drawing/2014/chart" uri="{C3380CC4-5D6E-409C-BE32-E72D297353CC}">
              <c16:uniqueId val="{00000002-F372-4868-BC3C-01B310EC3477}"/>
            </c:ext>
          </c:extLst>
        </c:ser>
        <c:ser>
          <c:idx val="3"/>
          <c:order val="3"/>
          <c:tx>
            <c:strRef>
              <c:f>'Figure 2.1.1.'!$AH$4</c:f>
              <c:strCache>
                <c:ptCount val="1"/>
                <c:pt idx="0">
                  <c:v>Less tight labor markets</c:v>
                </c:pt>
              </c:strCache>
            </c:strRef>
          </c:tx>
          <c:spPr>
            <a:ln w="38100" cap="rnd">
              <a:solidFill>
                <a:srgbClr val="FA7D00"/>
              </a:solidFill>
              <a:round/>
            </a:ln>
            <a:effectLst/>
          </c:spPr>
          <c:marker>
            <c:symbol val="none"/>
          </c:marke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2.1.1.'!$AH$5:$AH$26</c:f>
              <c:numCache>
                <c:formatCode>0.0</c:formatCode>
                <c:ptCount val="22"/>
                <c:pt idx="0">
                  <c:v>0</c:v>
                </c:pt>
                <c:pt idx="1">
                  <c:v>9.4117000000000006E-2</c:v>
                </c:pt>
                <c:pt idx="2">
                  <c:v>6.8099199999999999E-2</c:v>
                </c:pt>
                <c:pt idx="3">
                  <c:v>4.9375599999999999E-2</c:v>
                </c:pt>
                <c:pt idx="4">
                  <c:v>-7.5672600000000007E-2</c:v>
                </c:pt>
                <c:pt idx="5">
                  <c:v>-4.7065900000000001E-2</c:v>
                </c:pt>
                <c:pt idx="6">
                  <c:v>-3.02171E-2</c:v>
                </c:pt>
                <c:pt idx="7">
                  <c:v>1.4016600000000001E-2</c:v>
                </c:pt>
                <c:pt idx="8">
                  <c:v>1.0373E-2</c:v>
                </c:pt>
                <c:pt idx="9">
                  <c:v>-8.0331299999999994E-2</c:v>
                </c:pt>
                <c:pt idx="10">
                  <c:v>-0.1381455</c:v>
                </c:pt>
                <c:pt idx="11">
                  <c:v>-0.15344289999999999</c:v>
                </c:pt>
                <c:pt idx="12">
                  <c:v>-0.1393981</c:v>
                </c:pt>
                <c:pt idx="13">
                  <c:v>-0.15715229999999999</c:v>
                </c:pt>
                <c:pt idx="14">
                  <c:v>-0.20031779999999999</c:v>
                </c:pt>
                <c:pt idx="15">
                  <c:v>-0.25578210000000001</c:v>
                </c:pt>
                <c:pt idx="16">
                  <c:v>-0.27332200000000001</c:v>
                </c:pt>
                <c:pt idx="17">
                  <c:v>-0.3001278</c:v>
                </c:pt>
                <c:pt idx="18">
                  <c:v>-0.29475430000000002</c:v>
                </c:pt>
                <c:pt idx="19">
                  <c:v>-0.22792290000000001</c:v>
                </c:pt>
                <c:pt idx="20">
                  <c:v>-0.14141000000000001</c:v>
                </c:pt>
                <c:pt idx="21">
                  <c:v>-0.1942255</c:v>
                </c:pt>
              </c:numCache>
            </c:numRef>
          </c:val>
          <c:smooth val="0"/>
          <c:extLst>
            <c:ext xmlns:c16="http://schemas.microsoft.com/office/drawing/2014/chart" uri="{C3380CC4-5D6E-409C-BE32-E72D297353CC}">
              <c16:uniqueId val="{00000003-F372-4868-BC3C-01B310EC3477}"/>
            </c:ext>
          </c:extLst>
        </c:ser>
        <c:ser>
          <c:idx val="4"/>
          <c:order val="4"/>
          <c:tx>
            <c:strRef>
              <c:f>'Figure 2.1.1.'!$AI$4</c:f>
              <c:strCache>
                <c:ptCount val="1"/>
                <c:pt idx="0">
                  <c:v>ci90r</c:v>
                </c:pt>
              </c:strCache>
            </c:strRef>
          </c:tx>
          <c:spPr>
            <a:ln w="28575" cap="rnd">
              <a:solidFill>
                <a:srgbClr val="FA7D00"/>
              </a:solidFill>
              <a:prstDash val="sysDash"/>
              <a:round/>
            </a:ln>
            <a:effectLst/>
          </c:spPr>
          <c:marker>
            <c:symbol val="none"/>
          </c:marke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2.1.1.'!$AI$5:$AI$26</c:f>
              <c:numCache>
                <c:formatCode>0.0</c:formatCode>
                <c:ptCount val="22"/>
                <c:pt idx="0">
                  <c:v>0</c:v>
                </c:pt>
                <c:pt idx="1">
                  <c:v>0.16734589999999999</c:v>
                </c:pt>
                <c:pt idx="2">
                  <c:v>0.1517607</c:v>
                </c:pt>
                <c:pt idx="3">
                  <c:v>0.17414089999999999</c:v>
                </c:pt>
                <c:pt idx="4">
                  <c:v>0.1141137</c:v>
                </c:pt>
                <c:pt idx="5">
                  <c:v>0.1543802</c:v>
                </c:pt>
                <c:pt idx="6">
                  <c:v>0.18825</c:v>
                </c:pt>
                <c:pt idx="7">
                  <c:v>0.25644820000000002</c:v>
                </c:pt>
                <c:pt idx="8">
                  <c:v>0.25388690000000003</c:v>
                </c:pt>
                <c:pt idx="9">
                  <c:v>0.17622889999999999</c:v>
                </c:pt>
                <c:pt idx="10">
                  <c:v>0.12900049999999999</c:v>
                </c:pt>
                <c:pt idx="11">
                  <c:v>0.118607</c:v>
                </c:pt>
                <c:pt idx="12">
                  <c:v>0.18032000000000001</c:v>
                </c:pt>
                <c:pt idx="13">
                  <c:v>0.1225458</c:v>
                </c:pt>
                <c:pt idx="14">
                  <c:v>4.7097699999999999E-2</c:v>
                </c:pt>
                <c:pt idx="15">
                  <c:v>-3.5680999999999998E-3</c:v>
                </c:pt>
                <c:pt idx="16">
                  <c:v>3.81962E-2</c:v>
                </c:pt>
                <c:pt idx="17">
                  <c:v>5.9950099999999999E-2</c:v>
                </c:pt>
                <c:pt idx="18">
                  <c:v>7.7324000000000004E-2</c:v>
                </c:pt>
                <c:pt idx="19">
                  <c:v>7.1032300000000007E-2</c:v>
                </c:pt>
                <c:pt idx="20">
                  <c:v>7.3053900000000005E-2</c:v>
                </c:pt>
                <c:pt idx="21">
                  <c:v>4.2293900000000002E-2</c:v>
                </c:pt>
              </c:numCache>
            </c:numRef>
          </c:val>
          <c:smooth val="0"/>
          <c:extLst>
            <c:ext xmlns:c16="http://schemas.microsoft.com/office/drawing/2014/chart" uri="{C3380CC4-5D6E-409C-BE32-E72D297353CC}">
              <c16:uniqueId val="{00000004-F372-4868-BC3C-01B310EC3477}"/>
            </c:ext>
          </c:extLst>
        </c:ser>
        <c:ser>
          <c:idx val="5"/>
          <c:order val="5"/>
          <c:tx>
            <c:strRef>
              <c:f>'Figure 2.1.1.'!$AJ$4</c:f>
              <c:strCache>
                <c:ptCount val="1"/>
                <c:pt idx="0">
                  <c:v>ci90r</c:v>
                </c:pt>
              </c:strCache>
            </c:strRef>
          </c:tx>
          <c:spPr>
            <a:ln w="28575" cap="rnd">
              <a:solidFill>
                <a:srgbClr val="FA7D00"/>
              </a:solidFill>
              <a:prstDash val="sysDash"/>
              <a:round/>
            </a:ln>
            <a:effectLst/>
          </c:spPr>
          <c:marker>
            <c:symbol val="none"/>
          </c:marker>
          <c:cat>
            <c:numRef>
              <c:f>'Figure 2.1.1.'!$AD$5:$AD$26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2.1.1.'!$AJ$5:$AJ$26</c:f>
              <c:numCache>
                <c:formatCode>0.0</c:formatCode>
                <c:ptCount val="22"/>
                <c:pt idx="0">
                  <c:v>0</c:v>
                </c:pt>
                <c:pt idx="1">
                  <c:v>2.08881E-2</c:v>
                </c:pt>
                <c:pt idx="2">
                  <c:v>-1.5562400000000001E-2</c:v>
                </c:pt>
                <c:pt idx="3">
                  <c:v>-7.5389700000000004E-2</c:v>
                </c:pt>
                <c:pt idx="4">
                  <c:v>-0.26545879999999999</c:v>
                </c:pt>
                <c:pt idx="5">
                  <c:v>-0.24851200000000001</c:v>
                </c:pt>
                <c:pt idx="6">
                  <c:v>-0.24868419999999999</c:v>
                </c:pt>
                <c:pt idx="7">
                  <c:v>-0.2284149</c:v>
                </c:pt>
                <c:pt idx="8">
                  <c:v>-0.23314090000000001</c:v>
                </c:pt>
                <c:pt idx="9">
                  <c:v>-0.33689150000000001</c:v>
                </c:pt>
                <c:pt idx="10">
                  <c:v>-0.40529140000000002</c:v>
                </c:pt>
                <c:pt idx="11">
                  <c:v>-0.4254928</c:v>
                </c:pt>
                <c:pt idx="12">
                  <c:v>-0.45911619999999997</c:v>
                </c:pt>
                <c:pt idx="13">
                  <c:v>-0.43685040000000003</c:v>
                </c:pt>
                <c:pt idx="14">
                  <c:v>-0.4477333</c:v>
                </c:pt>
                <c:pt idx="15">
                  <c:v>-0.50799609999999995</c:v>
                </c:pt>
                <c:pt idx="16">
                  <c:v>-0.58484029999999998</c:v>
                </c:pt>
                <c:pt idx="17">
                  <c:v>-0.66020579999999995</c:v>
                </c:pt>
                <c:pt idx="18">
                  <c:v>-0.6668326</c:v>
                </c:pt>
                <c:pt idx="19">
                  <c:v>-0.52687810000000002</c:v>
                </c:pt>
                <c:pt idx="20">
                  <c:v>-0.35587390000000002</c:v>
                </c:pt>
                <c:pt idx="21">
                  <c:v>-0.43074499999999999</c:v>
                </c:pt>
              </c:numCache>
            </c:numRef>
          </c:val>
          <c:smooth val="0"/>
          <c:extLst>
            <c:ext xmlns:c16="http://schemas.microsoft.com/office/drawing/2014/chart" uri="{C3380CC4-5D6E-409C-BE32-E72D297353CC}">
              <c16:uniqueId val="{00000005-F372-4868-BC3C-01B310EC3477}"/>
            </c:ext>
          </c:extLst>
        </c:ser>
        <c:dLbls>
          <c:showLegendKey val="0"/>
          <c:showVal val="0"/>
          <c:showCatName val="0"/>
          <c:showSerName val="0"/>
          <c:showPercent val="0"/>
          <c:showBubbleSize val="0"/>
        </c:dLbls>
        <c:marker val="1"/>
        <c:smooth val="0"/>
        <c:axId val="444401679"/>
        <c:axId val="444395023"/>
      </c:lineChart>
      <c:catAx>
        <c:axId val="444401679"/>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395023"/>
        <c:crosses val="autoZero"/>
        <c:auto val="1"/>
        <c:lblAlgn val="ctr"/>
        <c:lblOffset val="100"/>
        <c:noMultiLvlLbl val="0"/>
      </c:catAx>
      <c:valAx>
        <c:axId val="444395023"/>
        <c:scaling>
          <c:orientation val="minMax"/>
          <c:max val="0.60000000000000009"/>
          <c:min val="-0.8"/>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401679"/>
        <c:crosses val="autoZero"/>
        <c:crossBetween val="between"/>
      </c:valAx>
      <c:spPr>
        <a:noFill/>
        <a:ln>
          <a:noFill/>
        </a:ln>
        <a:effectLst/>
      </c:spPr>
    </c:plotArea>
    <c:legend>
      <c:legendPos val="r"/>
      <c:legendEntry>
        <c:idx val="0"/>
        <c:delete val="1"/>
      </c:legendEntry>
      <c:legendEntry>
        <c:idx val="1"/>
        <c:delete val="1"/>
      </c:legendEntry>
      <c:legendEntry>
        <c:idx val="4"/>
        <c:delete val="1"/>
      </c:legendEntry>
      <c:legendEntry>
        <c:idx val="5"/>
        <c:delete val="1"/>
      </c:legendEntry>
      <c:layout>
        <c:manualLayout>
          <c:xMode val="edge"/>
          <c:yMode val="edge"/>
          <c:x val="0.21550025103543125"/>
          <c:y val="0.68393946850393705"/>
          <c:w val="0.50587919225573674"/>
          <c:h val="0.2154543963254593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55147548683024"/>
          <c:y val="4.7158918035250227E-2"/>
          <c:w val="0.7255365133170677"/>
          <c:h val="0.83769116698113766"/>
        </c:manualLayout>
      </c:layout>
      <c:areaChart>
        <c:grouping val="standard"/>
        <c:varyColors val="0"/>
        <c:ser>
          <c:idx val="1"/>
          <c:order val="1"/>
          <c:tx>
            <c:strRef>
              <c:f>'Figure 2.1.1.'!$AV$4</c:f>
              <c:strCache>
                <c:ptCount val="1"/>
                <c:pt idx="0">
                  <c:v>ci90</c:v>
                </c:pt>
              </c:strCache>
            </c:strRef>
          </c:tx>
          <c:spPr>
            <a:solidFill>
              <a:srgbClr val="AA71D5"/>
            </a:solidFill>
            <a:ln>
              <a:noFill/>
              <a:prstDash val="sysDash"/>
            </a:ln>
            <a:effectLst/>
          </c:spP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2.1.1.'!$AV$5:$AV$26</c:f>
              <c:numCache>
                <c:formatCode>0.0</c:formatCode>
                <c:ptCount val="22"/>
                <c:pt idx="0">
                  <c:v>0</c:v>
                </c:pt>
                <c:pt idx="1">
                  <c:v>6.6222E-3</c:v>
                </c:pt>
                <c:pt idx="2">
                  <c:v>1.9082499999999999E-2</c:v>
                </c:pt>
                <c:pt idx="3">
                  <c:v>2.7714099999999998E-2</c:v>
                </c:pt>
                <c:pt idx="4">
                  <c:v>4.1170900000000003E-2</c:v>
                </c:pt>
                <c:pt idx="5">
                  <c:v>6.2636200000000003E-2</c:v>
                </c:pt>
                <c:pt idx="6">
                  <c:v>8.0795800000000001E-2</c:v>
                </c:pt>
                <c:pt idx="7">
                  <c:v>9.7426100000000002E-2</c:v>
                </c:pt>
                <c:pt idx="8">
                  <c:v>0.1129922</c:v>
                </c:pt>
                <c:pt idx="9">
                  <c:v>0.1363895</c:v>
                </c:pt>
                <c:pt idx="10">
                  <c:v>0.15571450000000001</c:v>
                </c:pt>
                <c:pt idx="11">
                  <c:v>0.1742824</c:v>
                </c:pt>
                <c:pt idx="12">
                  <c:v>0.18764</c:v>
                </c:pt>
                <c:pt idx="13">
                  <c:v>0.21305470000000001</c:v>
                </c:pt>
                <c:pt idx="14">
                  <c:v>0.23054520000000001</c:v>
                </c:pt>
                <c:pt idx="15">
                  <c:v>0.2508957</c:v>
                </c:pt>
                <c:pt idx="16">
                  <c:v>0.25863049999999999</c:v>
                </c:pt>
                <c:pt idx="17">
                  <c:v>0.26913379999999998</c:v>
                </c:pt>
                <c:pt idx="18">
                  <c:v>0.27201229999999998</c:v>
                </c:pt>
                <c:pt idx="19">
                  <c:v>0.26480700000000001</c:v>
                </c:pt>
                <c:pt idx="20">
                  <c:v>0.26448939999999999</c:v>
                </c:pt>
                <c:pt idx="21">
                  <c:v>0.24985889999999999</c:v>
                </c:pt>
              </c:numCache>
            </c:numRef>
          </c:val>
          <c:extLst>
            <c:ext xmlns:c16="http://schemas.microsoft.com/office/drawing/2014/chart" uri="{C3380CC4-5D6E-409C-BE32-E72D297353CC}">
              <c16:uniqueId val="{00000000-3872-4B0F-9814-1500EB3EA3D5}"/>
            </c:ext>
          </c:extLst>
        </c:ser>
        <c:ser>
          <c:idx val="2"/>
          <c:order val="2"/>
          <c:tx>
            <c:strRef>
              <c:f>'Figure 2.1.1.'!$AW$4</c:f>
              <c:strCache>
                <c:ptCount val="1"/>
                <c:pt idx="0">
                  <c:v>ci90</c:v>
                </c:pt>
              </c:strCache>
            </c:strRef>
          </c:tx>
          <c:spPr>
            <a:gradFill>
              <a:gsLst>
                <a:gs pos="28000">
                  <a:schemeClr val="accent1">
                    <a:lumMod val="0"/>
                    <a:lumOff val="100000"/>
                  </a:schemeClr>
                </a:gs>
                <a:gs pos="28000">
                  <a:srgbClr val="AA71D5"/>
                </a:gs>
              </a:gsLst>
              <a:lin ang="5400000" scaled="1"/>
            </a:gradFill>
            <a:ln>
              <a:noFill/>
              <a:prstDash val="sysDash"/>
            </a:ln>
            <a:effectLst/>
          </c:spP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2.1.1.'!$AW$5:$AW$26</c:f>
              <c:numCache>
                <c:formatCode>0.0</c:formatCode>
                <c:ptCount val="22"/>
                <c:pt idx="0">
                  <c:v>0</c:v>
                </c:pt>
                <c:pt idx="1">
                  <c:v>-3.4377000000000001E-3</c:v>
                </c:pt>
                <c:pt idx="2">
                  <c:v>-1.0211599999999999E-2</c:v>
                </c:pt>
                <c:pt idx="3">
                  <c:v>-1.8968100000000002E-2</c:v>
                </c:pt>
                <c:pt idx="4">
                  <c:v>-1.9241600000000001E-2</c:v>
                </c:pt>
                <c:pt idx="5">
                  <c:v>-1.51913E-2</c:v>
                </c:pt>
                <c:pt idx="6">
                  <c:v>-6.0556999999999998E-3</c:v>
                </c:pt>
                <c:pt idx="7">
                  <c:v>1.32342E-2</c:v>
                </c:pt>
                <c:pt idx="8">
                  <c:v>1.5787499999999999E-2</c:v>
                </c:pt>
                <c:pt idx="9">
                  <c:v>2.8880599999999999E-2</c:v>
                </c:pt>
                <c:pt idx="10">
                  <c:v>4.0453999999999997E-2</c:v>
                </c:pt>
                <c:pt idx="11">
                  <c:v>3.8015500000000001E-2</c:v>
                </c:pt>
                <c:pt idx="12">
                  <c:v>2.5405400000000002E-2</c:v>
                </c:pt>
                <c:pt idx="13">
                  <c:v>2.3462799999999999E-2</c:v>
                </c:pt>
                <c:pt idx="14">
                  <c:v>1.0778299999999999E-2</c:v>
                </c:pt>
                <c:pt idx="15">
                  <c:v>-3.6778000000000002E-3</c:v>
                </c:pt>
                <c:pt idx="16">
                  <c:v>-1.9070899999999998E-2</c:v>
                </c:pt>
                <c:pt idx="17">
                  <c:v>-3.3039800000000001E-2</c:v>
                </c:pt>
                <c:pt idx="18">
                  <c:v>-5.0690899999999997E-2</c:v>
                </c:pt>
                <c:pt idx="19">
                  <c:v>-6.5618399999999993E-2</c:v>
                </c:pt>
                <c:pt idx="20">
                  <c:v>-7.93436E-2</c:v>
                </c:pt>
                <c:pt idx="21">
                  <c:v>-0.10323069999999999</c:v>
                </c:pt>
              </c:numCache>
            </c:numRef>
          </c:val>
          <c:extLst>
            <c:ext xmlns:c16="http://schemas.microsoft.com/office/drawing/2014/chart" uri="{C3380CC4-5D6E-409C-BE32-E72D297353CC}">
              <c16:uniqueId val="{00000001-3872-4B0F-9814-1500EB3EA3D5}"/>
            </c:ext>
          </c:extLst>
        </c:ser>
        <c:dLbls>
          <c:showLegendKey val="0"/>
          <c:showVal val="0"/>
          <c:showCatName val="0"/>
          <c:showSerName val="0"/>
          <c:showPercent val="0"/>
          <c:showBubbleSize val="0"/>
        </c:dLbls>
        <c:axId val="444401679"/>
        <c:axId val="444395023"/>
      </c:areaChart>
      <c:lineChart>
        <c:grouping val="standard"/>
        <c:varyColors val="0"/>
        <c:ser>
          <c:idx val="0"/>
          <c:order val="0"/>
          <c:tx>
            <c:strRef>
              <c:f>'Figure 2.1.1.'!$AU$4</c:f>
              <c:strCache>
                <c:ptCount val="1"/>
                <c:pt idx="0">
                  <c:v>Tighter labor markets</c:v>
                </c:pt>
              </c:strCache>
            </c:strRef>
          </c:tx>
          <c:spPr>
            <a:ln w="38100" cap="rnd">
              <a:solidFill>
                <a:srgbClr val="5E005E"/>
              </a:solidFill>
              <a:round/>
            </a:ln>
            <a:effectLst/>
          </c:spPr>
          <c:marker>
            <c:symbol val="none"/>
          </c:marke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2.1.1.'!$AU$5:$AU$26</c:f>
              <c:numCache>
                <c:formatCode>0.0</c:formatCode>
                <c:ptCount val="22"/>
                <c:pt idx="0">
                  <c:v>0</c:v>
                </c:pt>
                <c:pt idx="1">
                  <c:v>1.5922E-3</c:v>
                </c:pt>
                <c:pt idx="2">
                  <c:v>4.4355000000000002E-3</c:v>
                </c:pt>
                <c:pt idx="3">
                  <c:v>4.3730000000000002E-3</c:v>
                </c:pt>
                <c:pt idx="4">
                  <c:v>1.09646E-2</c:v>
                </c:pt>
                <c:pt idx="5">
                  <c:v>2.3722400000000001E-2</c:v>
                </c:pt>
                <c:pt idx="6">
                  <c:v>3.737E-2</c:v>
                </c:pt>
                <c:pt idx="7">
                  <c:v>5.5330200000000003E-2</c:v>
                </c:pt>
                <c:pt idx="8">
                  <c:v>6.4389799999999997E-2</c:v>
                </c:pt>
                <c:pt idx="9">
                  <c:v>8.2635E-2</c:v>
                </c:pt>
                <c:pt idx="10">
                  <c:v>9.8084199999999996E-2</c:v>
                </c:pt>
                <c:pt idx="11">
                  <c:v>0.10614899999999999</c:v>
                </c:pt>
                <c:pt idx="12">
                  <c:v>0.1065227</c:v>
                </c:pt>
                <c:pt idx="13">
                  <c:v>0.1182588</c:v>
                </c:pt>
                <c:pt idx="14">
                  <c:v>0.1206618</c:v>
                </c:pt>
                <c:pt idx="15">
                  <c:v>0.123609</c:v>
                </c:pt>
                <c:pt idx="16">
                  <c:v>0.11977980000000001</c:v>
                </c:pt>
                <c:pt idx="17">
                  <c:v>0.118047</c:v>
                </c:pt>
                <c:pt idx="18">
                  <c:v>0.1106607</c:v>
                </c:pt>
                <c:pt idx="19">
                  <c:v>9.9594299999999997E-2</c:v>
                </c:pt>
                <c:pt idx="20">
                  <c:v>9.25729E-2</c:v>
                </c:pt>
                <c:pt idx="21">
                  <c:v>7.3314099999999993E-2</c:v>
                </c:pt>
              </c:numCache>
            </c:numRef>
          </c:val>
          <c:smooth val="0"/>
          <c:extLst>
            <c:ext xmlns:c16="http://schemas.microsoft.com/office/drawing/2014/chart" uri="{C3380CC4-5D6E-409C-BE32-E72D297353CC}">
              <c16:uniqueId val="{00000002-3872-4B0F-9814-1500EB3EA3D5}"/>
            </c:ext>
          </c:extLst>
        </c:ser>
        <c:ser>
          <c:idx val="3"/>
          <c:order val="3"/>
          <c:tx>
            <c:strRef>
              <c:f>'Figure 2.1.1.'!$AX$4</c:f>
              <c:strCache>
                <c:ptCount val="1"/>
                <c:pt idx="0">
                  <c:v>Less tight labor markets</c:v>
                </c:pt>
              </c:strCache>
            </c:strRef>
          </c:tx>
          <c:spPr>
            <a:ln w="38100" cap="rnd">
              <a:solidFill>
                <a:srgbClr val="FA7D00"/>
              </a:solidFill>
              <a:round/>
            </a:ln>
            <a:effectLst/>
          </c:spPr>
          <c:marker>
            <c:symbol val="none"/>
          </c:marke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2.1.1.'!$AX$5:$AX$26</c:f>
              <c:numCache>
                <c:formatCode>0.0</c:formatCode>
                <c:ptCount val="22"/>
                <c:pt idx="0">
                  <c:v>0</c:v>
                </c:pt>
                <c:pt idx="1">
                  <c:v>8.1828000000000005E-3</c:v>
                </c:pt>
                <c:pt idx="2">
                  <c:v>1.46792E-2</c:v>
                </c:pt>
                <c:pt idx="3">
                  <c:v>2.5931800000000001E-2</c:v>
                </c:pt>
                <c:pt idx="4">
                  <c:v>2.7218699999999998E-2</c:v>
                </c:pt>
                <c:pt idx="5">
                  <c:v>2.5202599999999999E-2</c:v>
                </c:pt>
                <c:pt idx="6">
                  <c:v>3.1275600000000001E-2</c:v>
                </c:pt>
                <c:pt idx="7">
                  <c:v>2.27657E-2</c:v>
                </c:pt>
                <c:pt idx="8">
                  <c:v>1.37752E-2</c:v>
                </c:pt>
                <c:pt idx="9">
                  <c:v>6.9411999999999998E-3</c:v>
                </c:pt>
                <c:pt idx="10">
                  <c:v>8.1206999999999998E-3</c:v>
                </c:pt>
                <c:pt idx="11">
                  <c:v>4.3782999999999999E-3</c:v>
                </c:pt>
                <c:pt idx="12">
                  <c:v>9.6264999999999996E-3</c:v>
                </c:pt>
                <c:pt idx="13">
                  <c:v>1.0528600000000001E-2</c:v>
                </c:pt>
                <c:pt idx="14">
                  <c:v>9.9857999999999995E-3</c:v>
                </c:pt>
                <c:pt idx="15">
                  <c:v>7.2810000000000001E-3</c:v>
                </c:pt>
                <c:pt idx="16">
                  <c:v>9.4284999999999994E-3</c:v>
                </c:pt>
                <c:pt idx="17">
                  <c:v>1.5302E-2</c:v>
                </c:pt>
                <c:pt idx="18">
                  <c:v>2.4473100000000001E-2</c:v>
                </c:pt>
                <c:pt idx="19">
                  <c:v>3.1454799999999998E-2</c:v>
                </c:pt>
                <c:pt idx="20">
                  <c:v>2.9696400000000001E-2</c:v>
                </c:pt>
                <c:pt idx="21">
                  <c:v>4.6567900000000002E-2</c:v>
                </c:pt>
              </c:numCache>
            </c:numRef>
          </c:val>
          <c:smooth val="0"/>
          <c:extLst>
            <c:ext xmlns:c16="http://schemas.microsoft.com/office/drawing/2014/chart" uri="{C3380CC4-5D6E-409C-BE32-E72D297353CC}">
              <c16:uniqueId val="{00000003-3872-4B0F-9814-1500EB3EA3D5}"/>
            </c:ext>
          </c:extLst>
        </c:ser>
        <c:ser>
          <c:idx val="4"/>
          <c:order val="4"/>
          <c:tx>
            <c:strRef>
              <c:f>'Figure 2.1.1.'!$AY$4</c:f>
              <c:strCache>
                <c:ptCount val="1"/>
                <c:pt idx="0">
                  <c:v>ci90</c:v>
                </c:pt>
              </c:strCache>
            </c:strRef>
          </c:tx>
          <c:spPr>
            <a:ln w="28575" cap="rnd">
              <a:solidFill>
                <a:srgbClr val="FA7D00"/>
              </a:solidFill>
              <a:prstDash val="sysDash"/>
              <a:round/>
            </a:ln>
            <a:effectLst/>
          </c:spPr>
          <c:marker>
            <c:symbol val="none"/>
          </c:marke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2.1.1.'!$AY$5:$AY$26</c:f>
              <c:numCache>
                <c:formatCode>0.0</c:formatCode>
                <c:ptCount val="22"/>
                <c:pt idx="0">
                  <c:v>0</c:v>
                </c:pt>
                <c:pt idx="1">
                  <c:v>1.39458E-2</c:v>
                </c:pt>
                <c:pt idx="2">
                  <c:v>2.4235699999999999E-2</c:v>
                </c:pt>
                <c:pt idx="3">
                  <c:v>4.0633799999999998E-2</c:v>
                </c:pt>
                <c:pt idx="4">
                  <c:v>4.4784400000000002E-2</c:v>
                </c:pt>
                <c:pt idx="5">
                  <c:v>4.8235899999999998E-2</c:v>
                </c:pt>
                <c:pt idx="6">
                  <c:v>5.8006700000000001E-2</c:v>
                </c:pt>
                <c:pt idx="7">
                  <c:v>5.5862099999999998E-2</c:v>
                </c:pt>
                <c:pt idx="8">
                  <c:v>5.9147199999999997E-2</c:v>
                </c:pt>
                <c:pt idx="9">
                  <c:v>6.2911599999999998E-2</c:v>
                </c:pt>
                <c:pt idx="10">
                  <c:v>7.0114200000000002E-2</c:v>
                </c:pt>
                <c:pt idx="11">
                  <c:v>7.4809500000000001E-2</c:v>
                </c:pt>
                <c:pt idx="12">
                  <c:v>8.6652999999999994E-2</c:v>
                </c:pt>
                <c:pt idx="13">
                  <c:v>9.2399300000000004E-2</c:v>
                </c:pt>
                <c:pt idx="14">
                  <c:v>9.6988000000000005E-2</c:v>
                </c:pt>
                <c:pt idx="15">
                  <c:v>0.1016459</c:v>
                </c:pt>
                <c:pt idx="16">
                  <c:v>0.1100867</c:v>
                </c:pt>
                <c:pt idx="17">
                  <c:v>0.1242359</c:v>
                </c:pt>
                <c:pt idx="18">
                  <c:v>0.14234920000000001</c:v>
                </c:pt>
                <c:pt idx="19">
                  <c:v>0.1530802</c:v>
                </c:pt>
                <c:pt idx="20">
                  <c:v>0.15914449999999999</c:v>
                </c:pt>
                <c:pt idx="21">
                  <c:v>0.1854413</c:v>
                </c:pt>
              </c:numCache>
            </c:numRef>
          </c:val>
          <c:smooth val="0"/>
          <c:extLst>
            <c:ext xmlns:c16="http://schemas.microsoft.com/office/drawing/2014/chart" uri="{C3380CC4-5D6E-409C-BE32-E72D297353CC}">
              <c16:uniqueId val="{00000004-3872-4B0F-9814-1500EB3EA3D5}"/>
            </c:ext>
          </c:extLst>
        </c:ser>
        <c:ser>
          <c:idx val="5"/>
          <c:order val="5"/>
          <c:tx>
            <c:strRef>
              <c:f>'Figure 2.1.1.'!$AZ$4</c:f>
              <c:strCache>
                <c:ptCount val="1"/>
                <c:pt idx="0">
                  <c:v>ci90</c:v>
                </c:pt>
              </c:strCache>
            </c:strRef>
          </c:tx>
          <c:spPr>
            <a:ln w="28575" cap="rnd">
              <a:solidFill>
                <a:srgbClr val="FA7D00"/>
              </a:solidFill>
              <a:prstDash val="sysDash"/>
              <a:round/>
            </a:ln>
            <a:effectLst/>
          </c:spPr>
          <c:marker>
            <c:symbol val="none"/>
          </c:marker>
          <c:cat>
            <c:numRef>
              <c:f>'Figure 2.1.1.'!$AT$5:$AT$26</c:f>
              <c:numCache>
                <c:formatCode>General</c:formatCode>
                <c:ptCount val="2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numCache>
            </c:numRef>
          </c:cat>
          <c:val>
            <c:numRef>
              <c:f>'Figure 2.1.1.'!$AZ$5:$AZ$26</c:f>
              <c:numCache>
                <c:formatCode>0.0</c:formatCode>
                <c:ptCount val="22"/>
                <c:pt idx="0">
                  <c:v>0</c:v>
                </c:pt>
                <c:pt idx="1">
                  <c:v>2.4199E-3</c:v>
                </c:pt>
                <c:pt idx="2">
                  <c:v>5.1228000000000003E-3</c:v>
                </c:pt>
                <c:pt idx="3">
                  <c:v>1.1229899999999999E-2</c:v>
                </c:pt>
                <c:pt idx="4">
                  <c:v>9.6530000000000001E-3</c:v>
                </c:pt>
                <c:pt idx="5">
                  <c:v>2.1692E-3</c:v>
                </c:pt>
                <c:pt idx="6">
                  <c:v>4.5446000000000002E-3</c:v>
                </c:pt>
                <c:pt idx="7">
                  <c:v>-1.03307E-2</c:v>
                </c:pt>
                <c:pt idx="8">
                  <c:v>-3.1596800000000001E-2</c:v>
                </c:pt>
                <c:pt idx="9">
                  <c:v>-4.9029200000000002E-2</c:v>
                </c:pt>
                <c:pt idx="10">
                  <c:v>-5.3872700000000003E-2</c:v>
                </c:pt>
                <c:pt idx="11">
                  <c:v>-6.6052799999999995E-2</c:v>
                </c:pt>
                <c:pt idx="12">
                  <c:v>-6.7400100000000004E-2</c:v>
                </c:pt>
                <c:pt idx="13">
                  <c:v>-7.1342100000000006E-2</c:v>
                </c:pt>
                <c:pt idx="14">
                  <c:v>-7.7016399999999999E-2</c:v>
                </c:pt>
                <c:pt idx="15">
                  <c:v>-8.7083900000000006E-2</c:v>
                </c:pt>
                <c:pt idx="16">
                  <c:v>-9.12298E-2</c:v>
                </c:pt>
                <c:pt idx="17">
                  <c:v>-9.3631900000000004E-2</c:v>
                </c:pt>
                <c:pt idx="18">
                  <c:v>-9.3403E-2</c:v>
                </c:pt>
                <c:pt idx="19">
                  <c:v>-9.0170700000000006E-2</c:v>
                </c:pt>
                <c:pt idx="20">
                  <c:v>-9.9751800000000002E-2</c:v>
                </c:pt>
                <c:pt idx="21">
                  <c:v>-9.2305600000000002E-2</c:v>
                </c:pt>
              </c:numCache>
            </c:numRef>
          </c:val>
          <c:smooth val="0"/>
          <c:extLst>
            <c:ext xmlns:c16="http://schemas.microsoft.com/office/drawing/2014/chart" uri="{C3380CC4-5D6E-409C-BE32-E72D297353CC}">
              <c16:uniqueId val="{00000005-3872-4B0F-9814-1500EB3EA3D5}"/>
            </c:ext>
          </c:extLst>
        </c:ser>
        <c:dLbls>
          <c:showLegendKey val="0"/>
          <c:showVal val="0"/>
          <c:showCatName val="0"/>
          <c:showSerName val="0"/>
          <c:showPercent val="0"/>
          <c:showBubbleSize val="0"/>
        </c:dLbls>
        <c:marker val="1"/>
        <c:smooth val="0"/>
        <c:axId val="444401679"/>
        <c:axId val="444395023"/>
      </c:lineChart>
      <c:catAx>
        <c:axId val="444401679"/>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395023"/>
        <c:crosses val="autoZero"/>
        <c:auto val="1"/>
        <c:lblAlgn val="ctr"/>
        <c:lblOffset val="100"/>
        <c:noMultiLvlLbl val="0"/>
      </c:catAx>
      <c:valAx>
        <c:axId val="444395023"/>
        <c:scaling>
          <c:orientation val="minMax"/>
          <c:max val="0.30000000000000004"/>
          <c:min val="-0.1"/>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4401679"/>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8136591169502"/>
          <c:y val="4.8744472195413342E-2"/>
          <c:w val="0.81873988122800911"/>
          <c:h val="0.82218630646699931"/>
        </c:manualLayout>
      </c:layout>
      <c:barChart>
        <c:barDir val="col"/>
        <c:grouping val="clustered"/>
        <c:varyColors val="0"/>
        <c:ser>
          <c:idx val="3"/>
          <c:order val="0"/>
          <c:tx>
            <c:v>Primary balance</c:v>
          </c:tx>
          <c:spPr>
            <a:solidFill>
              <a:schemeClr val="accent6">
                <a:lumMod val="75000"/>
              </a:schemeClr>
            </a:solidFill>
            <a:ln>
              <a:solidFill>
                <a:schemeClr val="accent6">
                  <a:lumMod val="75000"/>
                </a:schemeClr>
              </a:solidFill>
            </a:ln>
            <a:effectLst/>
          </c:spPr>
          <c:invertIfNegative val="0"/>
          <c:val>
            <c:numRef>
              <c:f>'Figure 1.4'!$C$39:$K$39</c:f>
              <c:numCache>
                <c:formatCode>0.0</c:formatCode>
                <c:ptCount val="9"/>
                <c:pt idx="0">
                  <c:v>-1.8739030659436926</c:v>
                </c:pt>
                <c:pt idx="1">
                  <c:v>-3.2074090942481632</c:v>
                </c:pt>
                <c:pt idx="2">
                  <c:v>-2.8089010379633446</c:v>
                </c:pt>
                <c:pt idx="3">
                  <c:v>-2.2714469497043916</c:v>
                </c:pt>
                <c:pt idx="4">
                  <c:v>-2.3623381455437604</c:v>
                </c:pt>
                <c:pt idx="5">
                  <c:v>-2.0278229986899858</c:v>
                </c:pt>
                <c:pt idx="6">
                  <c:v>-1.8934690806790109</c:v>
                </c:pt>
                <c:pt idx="7">
                  <c:v>-1.7725850181897811</c:v>
                </c:pt>
                <c:pt idx="8">
                  <c:v>-1.7436586360672304</c:v>
                </c:pt>
              </c:numCache>
            </c:numRef>
          </c:val>
          <c:extLst>
            <c:ext xmlns:c15="http://schemas.microsoft.com/office/drawing/2012/chart" uri="{02D57815-91ED-43cb-92C2-25804820EDAC}">
              <c15:filteredCategoryTitle>
                <c15:cat>
                  <c:strRef>
                    <c:extLst>
                      <c:ext uri="{02D57815-91ED-43cb-92C2-25804820EDAC}">
                        <c15:formulaRef>
                          <c15:sqref>[228]Figure1!#REF!</c15:sqref>
                        </c15:formulaRef>
                      </c:ext>
                    </c:extLst>
                    <c:strCache>
                      <c:ptCount val="1"/>
                      <c:pt idx="0">
                        <c:v>#REF!</c:v>
                      </c:pt>
                    </c:strCache>
                  </c:strRef>
                </c15:cat>
              </c15:filteredCategoryTitle>
            </c:ext>
            <c:ext xmlns:c16="http://schemas.microsoft.com/office/drawing/2014/chart" uri="{C3380CC4-5D6E-409C-BE32-E72D297353CC}">
              <c16:uniqueId val="{00000000-DCF8-4749-AE3C-A968C54DB733}"/>
            </c:ext>
          </c:extLst>
        </c:ser>
        <c:dLbls>
          <c:showLegendKey val="0"/>
          <c:showVal val="0"/>
          <c:showCatName val="0"/>
          <c:showSerName val="0"/>
          <c:showPercent val="0"/>
          <c:showBubbleSize val="0"/>
        </c:dLbls>
        <c:gapWidth val="150"/>
        <c:axId val="935562496"/>
        <c:axId val="938717200"/>
      </c:barChart>
      <c:lineChart>
        <c:grouping val="standard"/>
        <c:varyColors val="0"/>
        <c:ser>
          <c:idx val="0"/>
          <c:order val="1"/>
          <c:tx>
            <c:v>Gross debt (right scale)</c:v>
          </c:tx>
          <c:spPr>
            <a:ln w="28575" cap="rnd">
              <a:solidFill>
                <a:schemeClr val="accent6">
                  <a:lumMod val="75000"/>
                </a:schemeClr>
              </a:solidFill>
              <a:prstDash val="sysDash"/>
              <a:round/>
            </a:ln>
            <a:effectLst/>
          </c:spPr>
          <c:marker>
            <c:symbol val="none"/>
          </c:marker>
          <c:val>
            <c:numRef>
              <c:f>'Figure 1.4'!$C$40:$K$40</c:f>
              <c:numCache>
                <c:formatCode>0.0</c:formatCode>
                <c:ptCount val="9"/>
                <c:pt idx="0">
                  <c:v>42.807445493468869</c:v>
                </c:pt>
                <c:pt idx="1">
                  <c:v>48.405618155047563</c:v>
                </c:pt>
                <c:pt idx="2">
                  <c:v>48.396484331426237</c:v>
                </c:pt>
                <c:pt idx="3">
                  <c:v>48.218989656642535</c:v>
                </c:pt>
                <c:pt idx="4">
                  <c:v>48.283999350283516</c:v>
                </c:pt>
                <c:pt idx="5">
                  <c:v>46.846352480517275</c:v>
                </c:pt>
                <c:pt idx="6">
                  <c:v>45.809544305048213</c:v>
                </c:pt>
                <c:pt idx="7">
                  <c:v>44.944154852074504</c:v>
                </c:pt>
                <c:pt idx="8">
                  <c:v>44.187774054103059</c:v>
                </c:pt>
              </c:numCache>
            </c:numRef>
          </c:val>
          <c:smooth val="0"/>
          <c:extLst>
            <c:ext xmlns:c16="http://schemas.microsoft.com/office/drawing/2014/chart" uri="{C3380CC4-5D6E-409C-BE32-E72D297353CC}">
              <c16:uniqueId val="{00000001-DCF8-4749-AE3C-A968C54DB733}"/>
            </c:ext>
          </c:extLst>
        </c:ser>
        <c:dLbls>
          <c:showLegendKey val="0"/>
          <c:showVal val="0"/>
          <c:showCatName val="0"/>
          <c:showSerName val="0"/>
          <c:showPercent val="0"/>
          <c:showBubbleSize val="0"/>
        </c:dLbls>
        <c:marker val="1"/>
        <c:smooth val="0"/>
        <c:axId val="387426240"/>
        <c:axId val="387424576"/>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938717200"/>
        <c:crosses val="autoZero"/>
        <c:auto val="1"/>
        <c:lblAlgn val="ctr"/>
        <c:lblOffset val="100"/>
        <c:noMultiLvlLbl val="0"/>
      </c:catAx>
      <c:valAx>
        <c:axId val="938717200"/>
        <c:scaling>
          <c:orientation val="minMax"/>
          <c:max val="8"/>
          <c:min val="-1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935562496"/>
        <c:crosses val="autoZero"/>
        <c:crossBetween val="between"/>
        <c:majorUnit val="2"/>
      </c:valAx>
      <c:valAx>
        <c:axId val="387424576"/>
        <c:scaling>
          <c:orientation val="minMax"/>
          <c:max val="60"/>
          <c:min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387426240"/>
        <c:crosses val="max"/>
        <c:crossBetween val="between"/>
        <c:majorUnit val="10"/>
      </c:valAx>
      <c:catAx>
        <c:axId val="387426240"/>
        <c:scaling>
          <c:orientation val="minMax"/>
        </c:scaling>
        <c:delete val="1"/>
        <c:axPos val="b"/>
        <c:majorTickMark val="out"/>
        <c:minorTickMark val="none"/>
        <c:tickLblPos val="nextTo"/>
        <c:crossAx val="387424576"/>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25860816143128074"/>
          <c:y val="0.66097519745533018"/>
          <c:w val="0.5550521586713304"/>
          <c:h val="0.1711618351369136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65821226137659E-2"/>
          <c:y val="2.8786839736636476E-2"/>
          <c:w val="0.90556649362251751"/>
          <c:h val="0.5003324250121115"/>
        </c:manualLayout>
      </c:layout>
      <c:barChart>
        <c:barDir val="col"/>
        <c:grouping val="clustered"/>
        <c:varyColors val="0"/>
        <c:ser>
          <c:idx val="4"/>
          <c:order val="1"/>
          <c:tx>
            <c:strRef>
              <c:f>'Figure 2.3.1.'!$X$5</c:f>
              <c:strCache>
                <c:ptCount val="1"/>
                <c:pt idx="0">
                  <c:v>Recession</c:v>
                </c:pt>
              </c:strCache>
            </c:strRef>
          </c:tx>
          <c:spPr>
            <a:solidFill>
              <a:schemeClr val="bg2"/>
            </a:solidFill>
            <a:ln>
              <a:noFill/>
            </a:ln>
            <a:effectLst/>
          </c:spPr>
          <c:invertIfNegative val="0"/>
          <c:val>
            <c:numRef>
              <c:f>'Figure 2.3.1.'!$X$6:$X$293</c:f>
              <c:numCache>
                <c:formatCode>0</c:formatCode>
                <c:ptCount val="2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1</c:v>
                </c:pt>
                <c:pt idx="40">
                  <c:v>1</c:v>
                </c:pt>
                <c:pt idx="41">
                  <c:v>1</c:v>
                </c:pt>
                <c:pt idx="42">
                  <c:v>1</c:v>
                </c:pt>
                <c:pt idx="43">
                  <c:v>1</c:v>
                </c:pt>
                <c:pt idx="44">
                  <c:v>1</c:v>
                </c:pt>
                <c:pt idx="45">
                  <c:v>1</c:v>
                </c:pt>
                <c:pt idx="46">
                  <c:v>1</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1</c:v>
                </c:pt>
                <c:pt idx="267">
                  <c:v>1</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numCache>
            </c:numRef>
          </c:val>
          <c:extLst>
            <c:ext xmlns:c16="http://schemas.microsoft.com/office/drawing/2014/chart" uri="{C3380CC4-5D6E-409C-BE32-E72D297353CC}">
              <c16:uniqueId val="{00000000-3159-465E-B803-C43F9CD460C7}"/>
            </c:ext>
          </c:extLst>
        </c:ser>
        <c:dLbls>
          <c:showLegendKey val="0"/>
          <c:showVal val="0"/>
          <c:showCatName val="0"/>
          <c:showSerName val="0"/>
          <c:showPercent val="0"/>
          <c:showBubbleSize val="0"/>
        </c:dLbls>
        <c:gapWidth val="0"/>
        <c:axId val="2075264399"/>
        <c:axId val="2075270639"/>
      </c:barChart>
      <c:lineChart>
        <c:grouping val="standard"/>
        <c:varyColors val="0"/>
        <c:ser>
          <c:idx val="3"/>
          <c:order val="0"/>
          <c:tx>
            <c:strRef>
              <c:f>'Figure 2.3.1.'!$W$5</c:f>
              <c:strCache>
                <c:ptCount val="1"/>
                <c:pt idx="0">
                  <c:v>Price gap</c:v>
                </c:pt>
              </c:strCache>
            </c:strRef>
          </c:tx>
          <c:spPr>
            <a:ln w="28575" cap="rnd">
              <a:solidFill>
                <a:srgbClr val="FF0000"/>
              </a:solidFill>
              <a:round/>
            </a:ln>
            <a:effectLst/>
          </c:spPr>
          <c:marker>
            <c:symbol val="none"/>
          </c:marker>
          <c:cat>
            <c:strRef>
              <c:f>'Figure 2.3.1.'!$P$6:$P$293</c:f>
              <c:strCache>
                <c:ptCount val="288"/>
                <c:pt idx="0">
                  <c:v>1998</c:v>
                </c:pt>
                <c:pt idx="12">
                  <c:v>1999</c:v>
                </c:pt>
                <c:pt idx="24">
                  <c:v>2000</c:v>
                </c:pt>
                <c:pt idx="25">
                  <c:v>2000m2</c:v>
                </c:pt>
                <c:pt idx="26">
                  <c:v>2000m3</c:v>
                </c:pt>
                <c:pt idx="27">
                  <c:v>2000m4</c:v>
                </c:pt>
                <c:pt idx="28">
                  <c:v>2000m5</c:v>
                </c:pt>
                <c:pt idx="29">
                  <c:v>2000m6</c:v>
                </c:pt>
                <c:pt idx="30">
                  <c:v>2000m7</c:v>
                </c:pt>
                <c:pt idx="31">
                  <c:v>2000m8</c:v>
                </c:pt>
                <c:pt idx="32">
                  <c:v>2000m9</c:v>
                </c:pt>
                <c:pt idx="33">
                  <c:v>2000m10</c:v>
                </c:pt>
                <c:pt idx="34">
                  <c:v>2000m11</c:v>
                </c:pt>
                <c:pt idx="35">
                  <c:v>2000m12</c:v>
                </c:pt>
                <c:pt idx="36">
                  <c:v>2001</c:v>
                </c:pt>
                <c:pt idx="37">
                  <c:v>2001m2</c:v>
                </c:pt>
                <c:pt idx="38">
                  <c:v>2001m3</c:v>
                </c:pt>
                <c:pt idx="39">
                  <c:v>2001m4</c:v>
                </c:pt>
                <c:pt idx="40">
                  <c:v>2001m5</c:v>
                </c:pt>
                <c:pt idx="41">
                  <c:v>2001m6</c:v>
                </c:pt>
                <c:pt idx="42">
                  <c:v>2001m7</c:v>
                </c:pt>
                <c:pt idx="43">
                  <c:v>2001m8</c:v>
                </c:pt>
                <c:pt idx="44">
                  <c:v>2001m9</c:v>
                </c:pt>
                <c:pt idx="45">
                  <c:v>2001m10</c:v>
                </c:pt>
                <c:pt idx="46">
                  <c:v>2001m11</c:v>
                </c:pt>
                <c:pt idx="47">
                  <c:v>2001m12</c:v>
                </c:pt>
                <c:pt idx="48">
                  <c:v>2002</c:v>
                </c:pt>
                <c:pt idx="49">
                  <c:v>2002m2</c:v>
                </c:pt>
                <c:pt idx="50">
                  <c:v>2002m3</c:v>
                </c:pt>
                <c:pt idx="51">
                  <c:v>2002m4</c:v>
                </c:pt>
                <c:pt idx="52">
                  <c:v>2002m5</c:v>
                </c:pt>
                <c:pt idx="53">
                  <c:v>2002m6</c:v>
                </c:pt>
                <c:pt idx="54">
                  <c:v>2002m7</c:v>
                </c:pt>
                <c:pt idx="55">
                  <c:v>2002m8</c:v>
                </c:pt>
                <c:pt idx="56">
                  <c:v>2002m9</c:v>
                </c:pt>
                <c:pt idx="57">
                  <c:v>2002m10</c:v>
                </c:pt>
                <c:pt idx="58">
                  <c:v>2002m11</c:v>
                </c:pt>
                <c:pt idx="59">
                  <c:v>2002m12</c:v>
                </c:pt>
                <c:pt idx="60">
                  <c:v>2003</c:v>
                </c:pt>
                <c:pt idx="61">
                  <c:v>2003m2</c:v>
                </c:pt>
                <c:pt idx="62">
                  <c:v>2003m3</c:v>
                </c:pt>
                <c:pt idx="63">
                  <c:v>2003m4</c:v>
                </c:pt>
                <c:pt idx="64">
                  <c:v>2003m5</c:v>
                </c:pt>
                <c:pt idx="65">
                  <c:v>2003m6</c:v>
                </c:pt>
                <c:pt idx="66">
                  <c:v>2003m7</c:v>
                </c:pt>
                <c:pt idx="67">
                  <c:v>2003m8</c:v>
                </c:pt>
                <c:pt idx="68">
                  <c:v>2003m9</c:v>
                </c:pt>
                <c:pt idx="69">
                  <c:v>2003m10</c:v>
                </c:pt>
                <c:pt idx="70">
                  <c:v>2003m11</c:v>
                </c:pt>
                <c:pt idx="71">
                  <c:v>2003m12</c:v>
                </c:pt>
                <c:pt idx="72">
                  <c:v>2004</c:v>
                </c:pt>
                <c:pt idx="73">
                  <c:v>2004m2</c:v>
                </c:pt>
                <c:pt idx="74">
                  <c:v>2004m3</c:v>
                </c:pt>
                <c:pt idx="75">
                  <c:v>2004m4</c:v>
                </c:pt>
                <c:pt idx="76">
                  <c:v>2004m5</c:v>
                </c:pt>
                <c:pt idx="77">
                  <c:v>2004m6</c:v>
                </c:pt>
                <c:pt idx="78">
                  <c:v>2004m7</c:v>
                </c:pt>
                <c:pt idx="79">
                  <c:v>2004m8</c:v>
                </c:pt>
                <c:pt idx="80">
                  <c:v>2004m9</c:v>
                </c:pt>
                <c:pt idx="81">
                  <c:v>2004m10</c:v>
                </c:pt>
                <c:pt idx="82">
                  <c:v>2004m11</c:v>
                </c:pt>
                <c:pt idx="83">
                  <c:v>2004m12</c:v>
                </c:pt>
                <c:pt idx="84">
                  <c:v>2005</c:v>
                </c:pt>
                <c:pt idx="85">
                  <c:v>2005m2</c:v>
                </c:pt>
                <c:pt idx="86">
                  <c:v>2005m3</c:v>
                </c:pt>
                <c:pt idx="87">
                  <c:v>2005m4</c:v>
                </c:pt>
                <c:pt idx="88">
                  <c:v>2005m5</c:v>
                </c:pt>
                <c:pt idx="89">
                  <c:v>2005m6</c:v>
                </c:pt>
                <c:pt idx="90">
                  <c:v>2005m7</c:v>
                </c:pt>
                <c:pt idx="91">
                  <c:v>2005m8</c:v>
                </c:pt>
                <c:pt idx="92">
                  <c:v>2005m9</c:v>
                </c:pt>
                <c:pt idx="93">
                  <c:v>2005m10</c:v>
                </c:pt>
                <c:pt idx="94">
                  <c:v>2005m11</c:v>
                </c:pt>
                <c:pt idx="95">
                  <c:v>2005m12</c:v>
                </c:pt>
                <c:pt idx="96">
                  <c:v>2006</c:v>
                </c:pt>
                <c:pt idx="97">
                  <c:v>2006m2</c:v>
                </c:pt>
                <c:pt idx="98">
                  <c:v>2006m3</c:v>
                </c:pt>
                <c:pt idx="99">
                  <c:v>2006m4</c:v>
                </c:pt>
                <c:pt idx="100">
                  <c:v>2006m5</c:v>
                </c:pt>
                <c:pt idx="101">
                  <c:v>2006m6</c:v>
                </c:pt>
                <c:pt idx="102">
                  <c:v>2006m7</c:v>
                </c:pt>
                <c:pt idx="103">
                  <c:v>2006m8</c:v>
                </c:pt>
                <c:pt idx="104">
                  <c:v>2006m9</c:v>
                </c:pt>
                <c:pt idx="105">
                  <c:v>2006m10</c:v>
                </c:pt>
                <c:pt idx="106">
                  <c:v>2006m11</c:v>
                </c:pt>
                <c:pt idx="107">
                  <c:v>2006m12</c:v>
                </c:pt>
                <c:pt idx="108">
                  <c:v>2007</c:v>
                </c:pt>
                <c:pt idx="109">
                  <c:v>2007m2</c:v>
                </c:pt>
                <c:pt idx="110">
                  <c:v>2007m3</c:v>
                </c:pt>
                <c:pt idx="111">
                  <c:v>2007m4</c:v>
                </c:pt>
                <c:pt idx="112">
                  <c:v>2007m5</c:v>
                </c:pt>
                <c:pt idx="113">
                  <c:v>2007m6</c:v>
                </c:pt>
                <c:pt idx="114">
                  <c:v>2007m7</c:v>
                </c:pt>
                <c:pt idx="115">
                  <c:v>2007m8</c:v>
                </c:pt>
                <c:pt idx="116">
                  <c:v>2007m9</c:v>
                </c:pt>
                <c:pt idx="117">
                  <c:v>2007m10</c:v>
                </c:pt>
                <c:pt idx="118">
                  <c:v>2007m11</c:v>
                </c:pt>
                <c:pt idx="119">
                  <c:v>2007m12</c:v>
                </c:pt>
                <c:pt idx="120">
                  <c:v>2008</c:v>
                </c:pt>
                <c:pt idx="121">
                  <c:v>2008m2</c:v>
                </c:pt>
                <c:pt idx="122">
                  <c:v>2008m3</c:v>
                </c:pt>
                <c:pt idx="123">
                  <c:v>2008m4</c:v>
                </c:pt>
                <c:pt idx="124">
                  <c:v>2008m5</c:v>
                </c:pt>
                <c:pt idx="125">
                  <c:v>2008m6</c:v>
                </c:pt>
                <c:pt idx="126">
                  <c:v>2008m7</c:v>
                </c:pt>
                <c:pt idx="127">
                  <c:v>2008m8</c:v>
                </c:pt>
                <c:pt idx="128">
                  <c:v>2008m9</c:v>
                </c:pt>
                <c:pt idx="129">
                  <c:v>2008m10</c:v>
                </c:pt>
                <c:pt idx="130">
                  <c:v>2008m11</c:v>
                </c:pt>
                <c:pt idx="131">
                  <c:v>2008m12</c:v>
                </c:pt>
                <c:pt idx="132">
                  <c:v>2009</c:v>
                </c:pt>
                <c:pt idx="133">
                  <c:v>2009m2</c:v>
                </c:pt>
                <c:pt idx="134">
                  <c:v>2009m3</c:v>
                </c:pt>
                <c:pt idx="135">
                  <c:v>2009m4</c:v>
                </c:pt>
                <c:pt idx="136">
                  <c:v>2009m5</c:v>
                </c:pt>
                <c:pt idx="137">
                  <c:v>2009m6</c:v>
                </c:pt>
                <c:pt idx="138">
                  <c:v>2009m7</c:v>
                </c:pt>
                <c:pt idx="139">
                  <c:v>2009m8</c:v>
                </c:pt>
                <c:pt idx="140">
                  <c:v>2009m9</c:v>
                </c:pt>
                <c:pt idx="141">
                  <c:v>2009m10</c:v>
                </c:pt>
                <c:pt idx="142">
                  <c:v>2009m11</c:v>
                </c:pt>
                <c:pt idx="143">
                  <c:v>2009m12</c:v>
                </c:pt>
                <c:pt idx="144">
                  <c:v>2010</c:v>
                </c:pt>
                <c:pt idx="145">
                  <c:v>2010m2</c:v>
                </c:pt>
                <c:pt idx="146">
                  <c:v>2010m3</c:v>
                </c:pt>
                <c:pt idx="147">
                  <c:v>2010m4</c:v>
                </c:pt>
                <c:pt idx="148">
                  <c:v>2010m5</c:v>
                </c:pt>
                <c:pt idx="149">
                  <c:v>2010m6</c:v>
                </c:pt>
                <c:pt idx="150">
                  <c:v>2010m7</c:v>
                </c:pt>
                <c:pt idx="151">
                  <c:v>2010m8</c:v>
                </c:pt>
                <c:pt idx="152">
                  <c:v>2010m9</c:v>
                </c:pt>
                <c:pt idx="153">
                  <c:v>2010m10</c:v>
                </c:pt>
                <c:pt idx="154">
                  <c:v>2010m11</c:v>
                </c:pt>
                <c:pt idx="155">
                  <c:v>2010m12</c:v>
                </c:pt>
                <c:pt idx="156">
                  <c:v>2011</c:v>
                </c:pt>
                <c:pt idx="157">
                  <c:v>2011m2</c:v>
                </c:pt>
                <c:pt idx="158">
                  <c:v>2011m3</c:v>
                </c:pt>
                <c:pt idx="159">
                  <c:v>2011m4</c:v>
                </c:pt>
                <c:pt idx="160">
                  <c:v>2011m5</c:v>
                </c:pt>
                <c:pt idx="161">
                  <c:v>2011m6</c:v>
                </c:pt>
                <c:pt idx="162">
                  <c:v>2011m7</c:v>
                </c:pt>
                <c:pt idx="163">
                  <c:v>2011m8</c:v>
                </c:pt>
                <c:pt idx="164">
                  <c:v>2011m9</c:v>
                </c:pt>
                <c:pt idx="165">
                  <c:v>2011m10</c:v>
                </c:pt>
                <c:pt idx="166">
                  <c:v>2011m11</c:v>
                </c:pt>
                <c:pt idx="167">
                  <c:v>2011m12</c:v>
                </c:pt>
                <c:pt idx="168">
                  <c:v>2012</c:v>
                </c:pt>
                <c:pt idx="169">
                  <c:v>2012m2</c:v>
                </c:pt>
                <c:pt idx="170">
                  <c:v>2012m3</c:v>
                </c:pt>
                <c:pt idx="171">
                  <c:v>2012m4</c:v>
                </c:pt>
                <c:pt idx="172">
                  <c:v>2012m5</c:v>
                </c:pt>
                <c:pt idx="173">
                  <c:v>2012m6</c:v>
                </c:pt>
                <c:pt idx="174">
                  <c:v>2012m7</c:v>
                </c:pt>
                <c:pt idx="175">
                  <c:v>2012m8</c:v>
                </c:pt>
                <c:pt idx="176">
                  <c:v>2012m9</c:v>
                </c:pt>
                <c:pt idx="177">
                  <c:v>2012m10</c:v>
                </c:pt>
                <c:pt idx="178">
                  <c:v>2012m11</c:v>
                </c:pt>
                <c:pt idx="179">
                  <c:v>2012m12</c:v>
                </c:pt>
                <c:pt idx="180">
                  <c:v>2013</c:v>
                </c:pt>
                <c:pt idx="181">
                  <c:v>2013m2</c:v>
                </c:pt>
                <c:pt idx="182">
                  <c:v>2013m3</c:v>
                </c:pt>
                <c:pt idx="183">
                  <c:v>2013m4</c:v>
                </c:pt>
                <c:pt idx="184">
                  <c:v>2013m5</c:v>
                </c:pt>
                <c:pt idx="185">
                  <c:v>2013m6</c:v>
                </c:pt>
                <c:pt idx="186">
                  <c:v>2013m7</c:v>
                </c:pt>
                <c:pt idx="187">
                  <c:v>2013m8</c:v>
                </c:pt>
                <c:pt idx="188">
                  <c:v>2013m9</c:v>
                </c:pt>
                <c:pt idx="189">
                  <c:v>2013m10</c:v>
                </c:pt>
                <c:pt idx="190">
                  <c:v>2013m11</c:v>
                </c:pt>
                <c:pt idx="191">
                  <c:v>2013m12</c:v>
                </c:pt>
                <c:pt idx="192">
                  <c:v>2014</c:v>
                </c:pt>
                <c:pt idx="193">
                  <c:v>2014m2</c:v>
                </c:pt>
                <c:pt idx="194">
                  <c:v>2014m3</c:v>
                </c:pt>
                <c:pt idx="195">
                  <c:v>2014m4</c:v>
                </c:pt>
                <c:pt idx="196">
                  <c:v>2014m5</c:v>
                </c:pt>
                <c:pt idx="197">
                  <c:v>2014m6</c:v>
                </c:pt>
                <c:pt idx="198">
                  <c:v>2014m7</c:v>
                </c:pt>
                <c:pt idx="199">
                  <c:v>2014m8</c:v>
                </c:pt>
                <c:pt idx="200">
                  <c:v>2014m9</c:v>
                </c:pt>
                <c:pt idx="201">
                  <c:v>2014m10</c:v>
                </c:pt>
                <c:pt idx="202">
                  <c:v>2014m11</c:v>
                </c:pt>
                <c:pt idx="203">
                  <c:v>2014m12</c:v>
                </c:pt>
                <c:pt idx="204">
                  <c:v>2015</c:v>
                </c:pt>
                <c:pt idx="205">
                  <c:v>2015m2</c:v>
                </c:pt>
                <c:pt idx="206">
                  <c:v>2015m3</c:v>
                </c:pt>
                <c:pt idx="207">
                  <c:v>2015m4</c:v>
                </c:pt>
                <c:pt idx="208">
                  <c:v>2015m5</c:v>
                </c:pt>
                <c:pt idx="209">
                  <c:v>2015m6</c:v>
                </c:pt>
                <c:pt idx="210">
                  <c:v>2015m7</c:v>
                </c:pt>
                <c:pt idx="211">
                  <c:v>2015m8</c:v>
                </c:pt>
                <c:pt idx="212">
                  <c:v>2015m9</c:v>
                </c:pt>
                <c:pt idx="213">
                  <c:v>2015m10</c:v>
                </c:pt>
                <c:pt idx="214">
                  <c:v>2015m11</c:v>
                </c:pt>
                <c:pt idx="215">
                  <c:v>2015m12</c:v>
                </c:pt>
                <c:pt idx="216">
                  <c:v>2016</c:v>
                </c:pt>
                <c:pt idx="217">
                  <c:v>2016m2</c:v>
                </c:pt>
                <c:pt idx="218">
                  <c:v>2016m3</c:v>
                </c:pt>
                <c:pt idx="219">
                  <c:v>2016m4</c:v>
                </c:pt>
                <c:pt idx="220">
                  <c:v>2016m5</c:v>
                </c:pt>
                <c:pt idx="221">
                  <c:v>2016m6</c:v>
                </c:pt>
                <c:pt idx="222">
                  <c:v>2016m7</c:v>
                </c:pt>
                <c:pt idx="223">
                  <c:v>2016m8</c:v>
                </c:pt>
                <c:pt idx="224">
                  <c:v>2016m9</c:v>
                </c:pt>
                <c:pt idx="225">
                  <c:v>2016m10</c:v>
                </c:pt>
                <c:pt idx="226">
                  <c:v>2016m11</c:v>
                </c:pt>
                <c:pt idx="227">
                  <c:v>2016m12</c:v>
                </c:pt>
                <c:pt idx="228">
                  <c:v>2017</c:v>
                </c:pt>
                <c:pt idx="229">
                  <c:v>2017m2</c:v>
                </c:pt>
                <c:pt idx="230">
                  <c:v>2017m3</c:v>
                </c:pt>
                <c:pt idx="231">
                  <c:v>2017m4</c:v>
                </c:pt>
                <c:pt idx="232">
                  <c:v>2017m5</c:v>
                </c:pt>
                <c:pt idx="233">
                  <c:v>2017m6</c:v>
                </c:pt>
                <c:pt idx="234">
                  <c:v>2017m7</c:v>
                </c:pt>
                <c:pt idx="235">
                  <c:v>2017m8</c:v>
                </c:pt>
                <c:pt idx="236">
                  <c:v>2017m9</c:v>
                </c:pt>
                <c:pt idx="237">
                  <c:v>2017m10</c:v>
                </c:pt>
                <c:pt idx="238">
                  <c:v>2017m11</c:v>
                </c:pt>
                <c:pt idx="239">
                  <c:v>2017m12</c:v>
                </c:pt>
                <c:pt idx="240">
                  <c:v>2018</c:v>
                </c:pt>
                <c:pt idx="241">
                  <c:v>2018m2</c:v>
                </c:pt>
                <c:pt idx="242">
                  <c:v>2018m3</c:v>
                </c:pt>
                <c:pt idx="243">
                  <c:v>2018m4</c:v>
                </c:pt>
                <c:pt idx="244">
                  <c:v>2018m5</c:v>
                </c:pt>
                <c:pt idx="245">
                  <c:v>2018m6</c:v>
                </c:pt>
                <c:pt idx="246">
                  <c:v>2018m7</c:v>
                </c:pt>
                <c:pt idx="247">
                  <c:v>2018m8</c:v>
                </c:pt>
                <c:pt idx="248">
                  <c:v>2018m9</c:v>
                </c:pt>
                <c:pt idx="249">
                  <c:v>2018m10</c:v>
                </c:pt>
                <c:pt idx="250">
                  <c:v>2018m11</c:v>
                </c:pt>
                <c:pt idx="251">
                  <c:v>2018m12</c:v>
                </c:pt>
                <c:pt idx="252">
                  <c:v>2019</c:v>
                </c:pt>
                <c:pt idx="253">
                  <c:v>2019m2</c:v>
                </c:pt>
                <c:pt idx="254">
                  <c:v>2019m3</c:v>
                </c:pt>
                <c:pt idx="255">
                  <c:v>2019m4</c:v>
                </c:pt>
                <c:pt idx="256">
                  <c:v>2019m5</c:v>
                </c:pt>
                <c:pt idx="257">
                  <c:v>2019m6</c:v>
                </c:pt>
                <c:pt idx="258">
                  <c:v>2019m7</c:v>
                </c:pt>
                <c:pt idx="259">
                  <c:v>2019m8</c:v>
                </c:pt>
                <c:pt idx="260">
                  <c:v>2019m9</c:v>
                </c:pt>
                <c:pt idx="261">
                  <c:v>2019m10</c:v>
                </c:pt>
                <c:pt idx="262">
                  <c:v>2019m11</c:v>
                </c:pt>
                <c:pt idx="263">
                  <c:v>2019m12</c:v>
                </c:pt>
                <c:pt idx="264">
                  <c:v>2020</c:v>
                </c:pt>
                <c:pt idx="265">
                  <c:v>2020m2</c:v>
                </c:pt>
                <c:pt idx="266">
                  <c:v>2020m3</c:v>
                </c:pt>
                <c:pt idx="267">
                  <c:v>2020m4</c:v>
                </c:pt>
                <c:pt idx="268">
                  <c:v>2020m5</c:v>
                </c:pt>
                <c:pt idx="269">
                  <c:v>2020m6</c:v>
                </c:pt>
                <c:pt idx="270">
                  <c:v>2020m7</c:v>
                </c:pt>
                <c:pt idx="271">
                  <c:v>2020m8</c:v>
                </c:pt>
                <c:pt idx="272">
                  <c:v>2020m9</c:v>
                </c:pt>
                <c:pt idx="273">
                  <c:v>2020m10</c:v>
                </c:pt>
                <c:pt idx="274">
                  <c:v>2020m11</c:v>
                </c:pt>
                <c:pt idx="275">
                  <c:v>2020m12</c:v>
                </c:pt>
                <c:pt idx="276">
                  <c:v>2021</c:v>
                </c:pt>
                <c:pt idx="277">
                  <c:v>2021m2</c:v>
                </c:pt>
                <c:pt idx="278">
                  <c:v>2021m3</c:v>
                </c:pt>
                <c:pt idx="279">
                  <c:v>2021m4</c:v>
                </c:pt>
                <c:pt idx="280">
                  <c:v>2021m5</c:v>
                </c:pt>
                <c:pt idx="281">
                  <c:v>2021m6</c:v>
                </c:pt>
                <c:pt idx="282">
                  <c:v>2021m7</c:v>
                </c:pt>
                <c:pt idx="283">
                  <c:v>2021m8</c:v>
                </c:pt>
                <c:pt idx="284">
                  <c:v>2021m9</c:v>
                </c:pt>
                <c:pt idx="285">
                  <c:v>2021m10</c:v>
                </c:pt>
                <c:pt idx="286">
                  <c:v>2021m11</c:v>
                </c:pt>
                <c:pt idx="287">
                  <c:v>2021m12</c:v>
                </c:pt>
              </c:strCache>
            </c:strRef>
          </c:cat>
          <c:val>
            <c:numRef>
              <c:f>'Figure 2.3.1.'!$W$6:$W$293</c:f>
              <c:numCache>
                <c:formatCode>0</c:formatCode>
                <c:ptCount val="288"/>
                <c:pt idx="0">
                  <c:v>0</c:v>
                </c:pt>
                <c:pt idx="1">
                  <c:v>-0.21755804999999961</c:v>
                </c:pt>
                <c:pt idx="2">
                  <c:v>-0.41774809999998164</c:v>
                </c:pt>
                <c:pt idx="3">
                  <c:v>-0.39920119999996562</c:v>
                </c:pt>
                <c:pt idx="4">
                  <c:v>-0.11593100000000245</c:v>
                </c:pt>
                <c:pt idx="5">
                  <c:v>2.0582000000035627E-2</c:v>
                </c:pt>
                <c:pt idx="6">
                  <c:v>-4.1446500000019704E-2</c:v>
                </c:pt>
                <c:pt idx="7">
                  <c:v>-0.21611950000002267</c:v>
                </c:pt>
                <c:pt idx="8">
                  <c:v>-0.28805250000001337</c:v>
                </c:pt>
                <c:pt idx="9">
                  <c:v>-0.29663799999999352</c:v>
                </c:pt>
                <c:pt idx="10">
                  <c:v>-0.33341950000000953</c:v>
                </c:pt>
                <c:pt idx="11">
                  <c:v>-0.14287750000001598</c:v>
                </c:pt>
                <c:pt idx="12">
                  <c:v>-7.4280500000001304E-2</c:v>
                </c:pt>
                <c:pt idx="13">
                  <c:v>-0.24642249999999866</c:v>
                </c:pt>
                <c:pt idx="14">
                  <c:v>-0.34730850000002089</c:v>
                </c:pt>
                <c:pt idx="15">
                  <c:v>4.1474999999957518E-3</c:v>
                </c:pt>
                <c:pt idx="16">
                  <c:v>0.10518300000001979</c:v>
                </c:pt>
                <c:pt idx="17">
                  <c:v>0.22355099999999961</c:v>
                </c:pt>
                <c:pt idx="18">
                  <c:v>0.31967200000000418</c:v>
                </c:pt>
                <c:pt idx="19">
                  <c:v>0.4264084999999973</c:v>
                </c:pt>
                <c:pt idx="20">
                  <c:v>0.57234699999999528</c:v>
                </c:pt>
                <c:pt idx="21">
                  <c:v>0.45189999999999397</c:v>
                </c:pt>
                <c:pt idx="22">
                  <c:v>0.45703049999998857</c:v>
                </c:pt>
                <c:pt idx="23">
                  <c:v>0.61774700000003513</c:v>
                </c:pt>
                <c:pt idx="24">
                  <c:v>0.61111449999999845</c:v>
                </c:pt>
                <c:pt idx="25">
                  <c:v>0.71381400000001261</c:v>
                </c:pt>
                <c:pt idx="26">
                  <c:v>0.98997050000000364</c:v>
                </c:pt>
                <c:pt idx="27">
                  <c:v>1.0003454999999883</c:v>
                </c:pt>
                <c:pt idx="28">
                  <c:v>1.0353725000000091</c:v>
                </c:pt>
                <c:pt idx="29">
                  <c:v>1.4333150000000128</c:v>
                </c:pt>
                <c:pt idx="30">
                  <c:v>1.453249000000012</c:v>
                </c:pt>
                <c:pt idx="31">
                  <c:v>1.1530649999999865</c:v>
                </c:pt>
                <c:pt idx="32">
                  <c:v>1.3605319999999921</c:v>
                </c:pt>
                <c:pt idx="33">
                  <c:v>1.2686259999999949</c:v>
                </c:pt>
                <c:pt idx="34">
                  <c:v>1.3357420000000175</c:v>
                </c:pt>
                <c:pt idx="35">
                  <c:v>1.3086855000000064</c:v>
                </c:pt>
                <c:pt idx="36">
                  <c:v>1.5128639999999915</c:v>
                </c:pt>
                <c:pt idx="37">
                  <c:v>1.4950425000000322</c:v>
                </c:pt>
                <c:pt idx="38">
                  <c:v>1.3440935000000209</c:v>
                </c:pt>
                <c:pt idx="39">
                  <c:v>1.7222080000000028</c:v>
                </c:pt>
                <c:pt idx="40">
                  <c:v>2.1668534999999878</c:v>
                </c:pt>
                <c:pt idx="41">
                  <c:v>2.1543870000000132</c:v>
                </c:pt>
                <c:pt idx="42">
                  <c:v>1.8369209999999692</c:v>
                </c:pt>
                <c:pt idx="43">
                  <c:v>1.5276869999999887</c:v>
                </c:pt>
                <c:pt idx="44">
                  <c:v>1.8032115000000015</c:v>
                </c:pt>
                <c:pt idx="45">
                  <c:v>1.2451739999999711</c:v>
                </c:pt>
                <c:pt idx="46">
                  <c:v>1.0215135000000153</c:v>
                </c:pt>
                <c:pt idx="47">
                  <c:v>0.78706599999998073</c:v>
                </c:pt>
                <c:pt idx="48">
                  <c:v>0.89827700000000288</c:v>
                </c:pt>
                <c:pt idx="49">
                  <c:v>0.92346150000000016</c:v>
                </c:pt>
                <c:pt idx="50">
                  <c:v>1.1043169999999547</c:v>
                </c:pt>
                <c:pt idx="51">
                  <c:v>1.6366440000000093</c:v>
                </c:pt>
                <c:pt idx="52">
                  <c:v>1.6124094999999894</c:v>
                </c:pt>
                <c:pt idx="53">
                  <c:v>1.7858499999999999</c:v>
                </c:pt>
                <c:pt idx="54">
                  <c:v>1.9150170000000299</c:v>
                </c:pt>
                <c:pt idx="55">
                  <c:v>1.8023359999999933</c:v>
                </c:pt>
                <c:pt idx="56">
                  <c:v>1.7580234999999833</c:v>
                </c:pt>
                <c:pt idx="57">
                  <c:v>1.7167030000000194</c:v>
                </c:pt>
                <c:pt idx="58">
                  <c:v>1.8138780000000132</c:v>
                </c:pt>
                <c:pt idx="59">
                  <c:v>1.8542274999999941</c:v>
                </c:pt>
                <c:pt idx="60">
                  <c:v>2.0809089999999753</c:v>
                </c:pt>
                <c:pt idx="61">
                  <c:v>2.5476989999999589</c:v>
                </c:pt>
                <c:pt idx="62">
                  <c:v>2.8785310000000175</c:v>
                </c:pt>
                <c:pt idx="63">
                  <c:v>2.6206649999999776</c:v>
                </c:pt>
                <c:pt idx="64">
                  <c:v>2.3859709999999978</c:v>
                </c:pt>
                <c:pt idx="65">
                  <c:v>2.5238819999999773</c:v>
                </c:pt>
                <c:pt idx="66">
                  <c:v>2.5414014999999957</c:v>
                </c:pt>
                <c:pt idx="67">
                  <c:v>2.7257580000000114</c:v>
                </c:pt>
                <c:pt idx="68">
                  <c:v>2.9373940000000154</c:v>
                </c:pt>
                <c:pt idx="69">
                  <c:v>2.4956624999999955</c:v>
                </c:pt>
                <c:pt idx="70">
                  <c:v>2.4008744999999942</c:v>
                </c:pt>
                <c:pt idx="71">
                  <c:v>2.492937499999992</c:v>
                </c:pt>
                <c:pt idx="72">
                  <c:v>2.7133110000000293</c:v>
                </c:pt>
                <c:pt idx="73">
                  <c:v>2.8511684999999787</c:v>
                </c:pt>
                <c:pt idx="74">
                  <c:v>2.9340465000000426</c:v>
                </c:pt>
                <c:pt idx="75">
                  <c:v>3.0532275000000109</c:v>
                </c:pt>
                <c:pt idx="76">
                  <c:v>3.6246784999999893</c:v>
                </c:pt>
                <c:pt idx="77">
                  <c:v>3.8710014999999931</c:v>
                </c:pt>
                <c:pt idx="78">
                  <c:v>3.7246760000000156</c:v>
                </c:pt>
                <c:pt idx="79">
                  <c:v>3.6394169999999892</c:v>
                </c:pt>
                <c:pt idx="80">
                  <c:v>3.4917454999999986</c:v>
                </c:pt>
                <c:pt idx="81">
                  <c:v>3.6074160000000077</c:v>
                </c:pt>
                <c:pt idx="82">
                  <c:v>3.6522304999999866</c:v>
                </c:pt>
                <c:pt idx="83">
                  <c:v>3.5644690000000034</c:v>
                </c:pt>
                <c:pt idx="84">
                  <c:v>3.5139455000000153</c:v>
                </c:pt>
                <c:pt idx="85">
                  <c:v>3.620800500000021</c:v>
                </c:pt>
                <c:pt idx="86">
                  <c:v>3.7758485000000119</c:v>
                </c:pt>
                <c:pt idx="87">
                  <c:v>4.3008549999999701</c:v>
                </c:pt>
                <c:pt idx="88">
                  <c:v>4.2283064999999675</c:v>
                </c:pt>
                <c:pt idx="89">
                  <c:v>4.2864339999999945</c:v>
                </c:pt>
                <c:pt idx="90">
                  <c:v>4.6169200000000021</c:v>
                </c:pt>
                <c:pt idx="91">
                  <c:v>4.9361595000000369</c:v>
                </c:pt>
                <c:pt idx="92">
                  <c:v>5.9248695000000184</c:v>
                </c:pt>
                <c:pt idx="93">
                  <c:v>5.6210635000000009</c:v>
                </c:pt>
                <c:pt idx="94">
                  <c:v>4.8139064999999981</c:v>
                </c:pt>
                <c:pt idx="95">
                  <c:v>4.5731879999999947</c:v>
                </c:pt>
                <c:pt idx="96">
                  <c:v>4.9762920000000044</c:v>
                </c:pt>
                <c:pt idx="97">
                  <c:v>4.9028755000000368</c:v>
                </c:pt>
                <c:pt idx="98">
                  <c:v>5.0184164999999892</c:v>
                </c:pt>
                <c:pt idx="99">
                  <c:v>5.5346795000000171</c:v>
                </c:pt>
                <c:pt idx="100">
                  <c:v>5.8942380000000405</c:v>
                </c:pt>
                <c:pt idx="101">
                  <c:v>5.9722469999999639</c:v>
                </c:pt>
                <c:pt idx="102">
                  <c:v>6.0619465000000039</c:v>
                </c:pt>
                <c:pt idx="103">
                  <c:v>5.9319244999999743</c:v>
                </c:pt>
                <c:pt idx="104">
                  <c:v>5.2849189999999657</c:v>
                </c:pt>
                <c:pt idx="105">
                  <c:v>4.4922454999999806</c:v>
                </c:pt>
                <c:pt idx="106">
                  <c:v>4.484893000000012</c:v>
                </c:pt>
                <c:pt idx="107">
                  <c:v>4.7484525000000222</c:v>
                </c:pt>
                <c:pt idx="108">
                  <c:v>4.7092290000000148</c:v>
                </c:pt>
                <c:pt idx="109">
                  <c:v>4.7694379999999814</c:v>
                </c:pt>
                <c:pt idx="110">
                  <c:v>5.355774499999999</c:v>
                </c:pt>
                <c:pt idx="111">
                  <c:v>5.8086854999999993</c:v>
                </c:pt>
                <c:pt idx="112">
                  <c:v>6.4261280000000198</c:v>
                </c:pt>
                <c:pt idx="113">
                  <c:v>6.4812869999999911</c:v>
                </c:pt>
                <c:pt idx="114">
                  <c:v>6.3215679999999885</c:v>
                </c:pt>
                <c:pt idx="115">
                  <c:v>5.9626074999999945</c:v>
                </c:pt>
                <c:pt idx="116">
                  <c:v>6.0619264999999922</c:v>
                </c:pt>
                <c:pt idx="117">
                  <c:v>5.9891080000000319</c:v>
                </c:pt>
                <c:pt idx="118">
                  <c:v>6.5115720000000321</c:v>
                </c:pt>
                <c:pt idx="119">
                  <c:v>6.5676035000000077</c:v>
                </c:pt>
                <c:pt idx="120">
                  <c:v>6.691216500000019</c:v>
                </c:pt>
                <c:pt idx="121">
                  <c:v>6.6798939999999973</c:v>
                </c:pt>
                <c:pt idx="122">
                  <c:v>6.9531499999999857</c:v>
                </c:pt>
                <c:pt idx="123">
                  <c:v>7.4479359999999994</c:v>
                </c:pt>
                <c:pt idx="124">
                  <c:v>8.0251049999999999</c:v>
                </c:pt>
                <c:pt idx="125">
                  <c:v>8.6609684999999992</c:v>
                </c:pt>
                <c:pt idx="126">
                  <c:v>8.8508964999999939</c:v>
                </c:pt>
                <c:pt idx="127">
                  <c:v>8.3349404999999877</c:v>
                </c:pt>
                <c:pt idx="128">
                  <c:v>8.1729834999999973</c:v>
                </c:pt>
                <c:pt idx="129">
                  <c:v>7.2843470000000021</c:v>
                </c:pt>
                <c:pt idx="130">
                  <c:v>5.9218299999999724</c:v>
                </c:pt>
                <c:pt idx="131">
                  <c:v>5.4341149999999949</c:v>
                </c:pt>
                <c:pt idx="132">
                  <c:v>5.6432594999999752</c:v>
                </c:pt>
                <c:pt idx="133">
                  <c:v>5.7358475000000242</c:v>
                </c:pt>
                <c:pt idx="134">
                  <c:v>5.7914909999999598</c:v>
                </c:pt>
                <c:pt idx="135">
                  <c:v>6.069536000000042</c:v>
                </c:pt>
                <c:pt idx="136">
                  <c:v>6.4277394999999737</c:v>
                </c:pt>
                <c:pt idx="137">
                  <c:v>7.1595389999999925</c:v>
                </c:pt>
                <c:pt idx="138">
                  <c:v>6.962664499999982</c:v>
                </c:pt>
                <c:pt idx="139">
                  <c:v>7.0840485000000175</c:v>
                </c:pt>
                <c:pt idx="140">
                  <c:v>6.9225595000000251</c:v>
                </c:pt>
                <c:pt idx="141">
                  <c:v>6.7958974999999811</c:v>
                </c:pt>
                <c:pt idx="142">
                  <c:v>7.0786385000000118</c:v>
                </c:pt>
                <c:pt idx="143">
                  <c:v>7.2027330000000056</c:v>
                </c:pt>
                <c:pt idx="144">
                  <c:v>7.6463455000000069</c:v>
                </c:pt>
                <c:pt idx="145">
                  <c:v>7.5252474999999874</c:v>
                </c:pt>
                <c:pt idx="146">
                  <c:v>7.7385465000000098</c:v>
                </c:pt>
                <c:pt idx="147">
                  <c:v>7.8363420000000072</c:v>
                </c:pt>
                <c:pt idx="148">
                  <c:v>7.8601265000000087</c:v>
                </c:pt>
                <c:pt idx="149">
                  <c:v>7.689024500000019</c:v>
                </c:pt>
                <c:pt idx="150">
                  <c:v>7.6993234999999771</c:v>
                </c:pt>
                <c:pt idx="151">
                  <c:v>7.7343000000000162</c:v>
                </c:pt>
                <c:pt idx="152">
                  <c:v>7.7489964999999827</c:v>
                </c:pt>
                <c:pt idx="153">
                  <c:v>7.8849754999999799</c:v>
                </c:pt>
                <c:pt idx="154">
                  <c:v>8.0010944999999936</c:v>
                </c:pt>
                <c:pt idx="155">
                  <c:v>8.2567620000000286</c:v>
                </c:pt>
                <c:pt idx="156">
                  <c:v>8.521582999999989</c:v>
                </c:pt>
                <c:pt idx="157">
                  <c:v>8.6781670000000144</c:v>
                </c:pt>
                <c:pt idx="158">
                  <c:v>9.3696819999999903</c:v>
                </c:pt>
                <c:pt idx="159">
                  <c:v>9.8903350000000056</c:v>
                </c:pt>
                <c:pt idx="160">
                  <c:v>10.201188999999978</c:v>
                </c:pt>
                <c:pt idx="161">
                  <c:v>9.8197095000000179</c:v>
                </c:pt>
                <c:pt idx="162">
                  <c:v>9.7345704999999718</c:v>
                </c:pt>
                <c:pt idx="163">
                  <c:v>9.7399470000000257</c:v>
                </c:pt>
                <c:pt idx="164">
                  <c:v>9.8531439999999684</c:v>
                </c:pt>
                <c:pt idx="165">
                  <c:v>9.5311065000000195</c:v>
                </c:pt>
                <c:pt idx="166">
                  <c:v>9.4974679999999978</c:v>
                </c:pt>
                <c:pt idx="167">
                  <c:v>9.2855515000000111</c:v>
                </c:pt>
                <c:pt idx="168">
                  <c:v>9.5104169999999932</c:v>
                </c:pt>
                <c:pt idx="169">
                  <c:v>9.7150674999999964</c:v>
                </c:pt>
                <c:pt idx="170">
                  <c:v>10.115554500000034</c:v>
                </c:pt>
                <c:pt idx="171">
                  <c:v>10.197517000000023</c:v>
                </c:pt>
                <c:pt idx="172">
                  <c:v>9.9506719999999937</c:v>
                </c:pt>
                <c:pt idx="173">
                  <c:v>9.6472644999999968</c:v>
                </c:pt>
                <c:pt idx="174">
                  <c:v>9.5149880000000344</c:v>
                </c:pt>
                <c:pt idx="175">
                  <c:v>9.9209395000000367</c:v>
                </c:pt>
                <c:pt idx="176">
                  <c:v>10.119858499999989</c:v>
                </c:pt>
                <c:pt idx="177">
                  <c:v>9.9223920000000021</c:v>
                </c:pt>
                <c:pt idx="178">
                  <c:v>9.514699499999967</c:v>
                </c:pt>
                <c:pt idx="179">
                  <c:v>9.3785259999999973</c:v>
                </c:pt>
                <c:pt idx="180">
                  <c:v>9.3826854999999867</c:v>
                </c:pt>
                <c:pt idx="181">
                  <c:v>9.8912424999999971</c:v>
                </c:pt>
                <c:pt idx="182">
                  <c:v>9.8663700000000141</c:v>
                </c:pt>
                <c:pt idx="183">
                  <c:v>9.6382660000000175</c:v>
                </c:pt>
                <c:pt idx="184">
                  <c:v>9.630967999999962</c:v>
                </c:pt>
                <c:pt idx="185">
                  <c:v>9.77887850000001</c:v>
                </c:pt>
                <c:pt idx="186">
                  <c:v>9.8116965</c:v>
                </c:pt>
                <c:pt idx="187">
                  <c:v>9.8112595000000127</c:v>
                </c:pt>
                <c:pt idx="188">
                  <c:v>9.7516025000000219</c:v>
                </c:pt>
                <c:pt idx="189">
                  <c:v>9.4419119999999737</c:v>
                </c:pt>
                <c:pt idx="190">
                  <c:v>9.1886404999999662</c:v>
                </c:pt>
                <c:pt idx="191">
                  <c:v>9.4222665000000418</c:v>
                </c:pt>
                <c:pt idx="192">
                  <c:v>9.6611894999999883</c:v>
                </c:pt>
                <c:pt idx="193">
                  <c:v>9.686337499999965</c:v>
                </c:pt>
                <c:pt idx="194">
                  <c:v>9.9518845000000198</c:v>
                </c:pt>
                <c:pt idx="195">
                  <c:v>10.039921499999993</c:v>
                </c:pt>
                <c:pt idx="196">
                  <c:v>10.029925999999989</c:v>
                </c:pt>
                <c:pt idx="197">
                  <c:v>10.218561999999999</c:v>
                </c:pt>
                <c:pt idx="198">
                  <c:v>10.25062000000001</c:v>
                </c:pt>
                <c:pt idx="199">
                  <c:v>10.063770000000027</c:v>
                </c:pt>
                <c:pt idx="200">
                  <c:v>9.9616080000000107</c:v>
                </c:pt>
                <c:pt idx="201">
                  <c:v>9.3963284999999619</c:v>
                </c:pt>
                <c:pt idx="202">
                  <c:v>8.8893330000000326</c:v>
                </c:pt>
                <c:pt idx="203">
                  <c:v>8.5863124999999698</c:v>
                </c:pt>
                <c:pt idx="204">
                  <c:v>7.7605905000000419</c:v>
                </c:pt>
                <c:pt idx="205">
                  <c:v>7.9285480000000019</c:v>
                </c:pt>
                <c:pt idx="206">
                  <c:v>8.158489000000003</c:v>
                </c:pt>
                <c:pt idx="207">
                  <c:v>8.0949829999999992</c:v>
                </c:pt>
                <c:pt idx="208">
                  <c:v>8.4063199999999672</c:v>
                </c:pt>
                <c:pt idx="209">
                  <c:v>8.6139095000000054</c:v>
                </c:pt>
                <c:pt idx="210">
                  <c:v>8.6372070000000143</c:v>
                </c:pt>
                <c:pt idx="211">
                  <c:v>8.5161060000000113</c:v>
                </c:pt>
                <c:pt idx="212">
                  <c:v>7.9988680000000034</c:v>
                </c:pt>
                <c:pt idx="213">
                  <c:v>7.7146485000000098</c:v>
                </c:pt>
                <c:pt idx="214">
                  <c:v>7.5650160000000133</c:v>
                </c:pt>
                <c:pt idx="215">
                  <c:v>7.4454865000000092</c:v>
                </c:pt>
                <c:pt idx="216">
                  <c:v>7.1297890000000086</c:v>
                </c:pt>
                <c:pt idx="217">
                  <c:v>6.4427940000000072</c:v>
                </c:pt>
                <c:pt idx="218">
                  <c:v>6.8908839999999971</c:v>
                </c:pt>
                <c:pt idx="219">
                  <c:v>7.3131554999999793</c:v>
                </c:pt>
                <c:pt idx="220">
                  <c:v>7.4804444999999831</c:v>
                </c:pt>
                <c:pt idx="221">
                  <c:v>7.7772245000000018</c:v>
                </c:pt>
                <c:pt idx="222">
                  <c:v>7.6394894999999963</c:v>
                </c:pt>
                <c:pt idx="223">
                  <c:v>7.5968870000000077</c:v>
                </c:pt>
                <c:pt idx="224">
                  <c:v>7.6894325000000485</c:v>
                </c:pt>
                <c:pt idx="225">
                  <c:v>7.6089299999999804</c:v>
                </c:pt>
                <c:pt idx="226">
                  <c:v>7.5888950000000399</c:v>
                </c:pt>
                <c:pt idx="227">
                  <c:v>7.849312499999983</c:v>
                </c:pt>
                <c:pt idx="228">
                  <c:v>8.0992730000000392</c:v>
                </c:pt>
                <c:pt idx="229">
                  <c:v>7.8156274999999775</c:v>
                </c:pt>
                <c:pt idx="230">
                  <c:v>7.7718160000000314</c:v>
                </c:pt>
                <c:pt idx="231">
                  <c:v>7.9530785000000215</c:v>
                </c:pt>
                <c:pt idx="232">
                  <c:v>7.8671144999999942</c:v>
                </c:pt>
                <c:pt idx="233">
                  <c:v>7.8874000000000333</c:v>
                </c:pt>
                <c:pt idx="234">
                  <c:v>7.9587264999999796</c:v>
                </c:pt>
                <c:pt idx="235">
                  <c:v>8.2190460000000076</c:v>
                </c:pt>
                <c:pt idx="236">
                  <c:v>8.8469114999999867</c:v>
                </c:pt>
                <c:pt idx="237">
                  <c:v>8.2994014999999912</c:v>
                </c:pt>
                <c:pt idx="238">
                  <c:v>8.6128610000000059</c:v>
                </c:pt>
                <c:pt idx="239">
                  <c:v>8.5699214999999995</c:v>
                </c:pt>
                <c:pt idx="240">
                  <c:v>8.7702755000000252</c:v>
                </c:pt>
                <c:pt idx="241">
                  <c:v>8.6854159999999681</c:v>
                </c:pt>
                <c:pt idx="242">
                  <c:v>8.5696605000000083</c:v>
                </c:pt>
                <c:pt idx="243">
                  <c:v>8.7902780000000291</c:v>
                </c:pt>
                <c:pt idx="244">
                  <c:v>8.945756500000023</c:v>
                </c:pt>
                <c:pt idx="245">
                  <c:v>9.1348154999999931</c:v>
                </c:pt>
                <c:pt idx="246">
                  <c:v>9.1258434999999629</c:v>
                </c:pt>
                <c:pt idx="247">
                  <c:v>9.1188615000000297</c:v>
                </c:pt>
                <c:pt idx="248">
                  <c:v>8.9793999999999929</c:v>
                </c:pt>
                <c:pt idx="249">
                  <c:v>8.9628639999999926</c:v>
                </c:pt>
                <c:pt idx="250">
                  <c:v>8.7191730000000014</c:v>
                </c:pt>
                <c:pt idx="251">
                  <c:v>8.4095435000000052</c:v>
                </c:pt>
                <c:pt idx="252">
                  <c:v>8.1446994999999855</c:v>
                </c:pt>
                <c:pt idx="253">
                  <c:v>8.0787444999999902</c:v>
                </c:pt>
                <c:pt idx="254">
                  <c:v>8.314008999999988</c:v>
                </c:pt>
                <c:pt idx="255">
                  <c:v>8.5978669999999582</c:v>
                </c:pt>
                <c:pt idx="256">
                  <c:v>8.6221274999999977</c:v>
                </c:pt>
                <c:pt idx="257">
                  <c:v>8.3476214999999918</c:v>
                </c:pt>
                <c:pt idx="258">
                  <c:v>8.4964440000000252</c:v>
                </c:pt>
                <c:pt idx="259">
                  <c:v>8.4176060000000099</c:v>
                </c:pt>
                <c:pt idx="260">
                  <c:v>8.2623495000000204</c:v>
                </c:pt>
                <c:pt idx="261">
                  <c:v>8.4025494999999886</c:v>
                </c:pt>
                <c:pt idx="262">
                  <c:v>8.4609164999999606</c:v>
                </c:pt>
                <c:pt idx="263">
                  <c:v>8.7100350000000049</c:v>
                </c:pt>
                <c:pt idx="264">
                  <c:v>8.6018139999999974</c:v>
                </c:pt>
                <c:pt idx="265">
                  <c:v>8.2190849999999926</c:v>
                </c:pt>
                <c:pt idx="266">
                  <c:v>8.3812639999999661</c:v>
                </c:pt>
                <c:pt idx="267">
                  <c:v>8.2932289999999789</c:v>
                </c:pt>
                <c:pt idx="268">
                  <c:v>8.1233239999999753</c:v>
                </c:pt>
                <c:pt idx="269">
                  <c:v>8.6114589999999769</c:v>
                </c:pt>
                <c:pt idx="270">
                  <c:v>9.1382269999999757</c:v>
                </c:pt>
                <c:pt idx="271">
                  <c:v>9.2794884999999994</c:v>
                </c:pt>
                <c:pt idx="272">
                  <c:v>9.2253644999999995</c:v>
                </c:pt>
                <c:pt idx="273">
                  <c:v>9.086433000000028</c:v>
                </c:pt>
                <c:pt idx="274">
                  <c:v>8.9660890000000215</c:v>
                </c:pt>
                <c:pt idx="275">
                  <c:v>9.2959174999999838</c:v>
                </c:pt>
                <c:pt idx="276">
                  <c:v>9.6898950000000372</c:v>
                </c:pt>
                <c:pt idx="277">
                  <c:v>10.048952999999994</c:v>
                </c:pt>
                <c:pt idx="278">
                  <c:v>10.430476999999993</c:v>
                </c:pt>
                <c:pt idx="279">
                  <c:v>10.334000499999973</c:v>
                </c:pt>
                <c:pt idx="280">
                  <c:v>10.215750000000012</c:v>
                </c:pt>
                <c:pt idx="281">
                  <c:v>10.423719999999959</c:v>
                </c:pt>
                <c:pt idx="282">
                  <c:v>10.509614999999982</c:v>
                </c:pt>
                <c:pt idx="283">
                  <c:v>10.850504500000003</c:v>
                </c:pt>
                <c:pt idx="284">
                  <c:v>11.072827000000007</c:v>
                </c:pt>
                <c:pt idx="285">
                  <c:v>11.460188500000012</c:v>
                </c:pt>
                <c:pt idx="286">
                  <c:v>11.684507499999963</c:v>
                </c:pt>
                <c:pt idx="287">
                  <c:v>11.716081999999961</c:v>
                </c:pt>
              </c:numCache>
            </c:numRef>
          </c:val>
          <c:smooth val="0"/>
          <c:extLst>
            <c:ext xmlns:c16="http://schemas.microsoft.com/office/drawing/2014/chart" uri="{C3380CC4-5D6E-409C-BE32-E72D297353CC}">
              <c16:uniqueId val="{00000001-3159-465E-B803-C43F9CD460C7}"/>
            </c:ext>
          </c:extLst>
        </c:ser>
        <c:dLbls>
          <c:showLegendKey val="0"/>
          <c:showVal val="0"/>
          <c:showCatName val="0"/>
          <c:showSerName val="0"/>
          <c:showPercent val="0"/>
          <c:showBubbleSize val="0"/>
        </c:dLbls>
        <c:marker val="1"/>
        <c:smooth val="0"/>
        <c:axId val="459973376"/>
        <c:axId val="459972544"/>
      </c:lineChart>
      <c:dateAx>
        <c:axId val="459973376"/>
        <c:scaling>
          <c:orientation val="minMax"/>
        </c:scaling>
        <c:delete val="0"/>
        <c:axPos val="b"/>
        <c:numFmt formatCode="General" sourceLinked="1"/>
        <c:majorTickMark val="none"/>
        <c:minorTickMark val="none"/>
        <c:tickLblPos val="low"/>
        <c:spPr>
          <a:noFill/>
          <a:ln w="28575" cap="flat" cmpd="sng" algn="ctr">
            <a:solidFill>
              <a:schemeClr val="tx1"/>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59972544"/>
        <c:crosses val="autoZero"/>
        <c:auto val="0"/>
        <c:lblOffset val="100"/>
        <c:baseTimeUnit val="days"/>
      </c:dateAx>
      <c:valAx>
        <c:axId val="459972544"/>
        <c:scaling>
          <c:orientation val="minMax"/>
          <c:max val="15"/>
          <c:min val="-2"/>
        </c:scaling>
        <c:delete val="0"/>
        <c:axPos val="l"/>
        <c:numFmt formatCode="0" sourceLinked="1"/>
        <c:majorTickMark val="in"/>
        <c:minorTickMark val="none"/>
        <c:tickLblPos val="nextTo"/>
        <c:spPr>
          <a:noFill/>
          <a:ln w="3175">
            <a:solidFill>
              <a:schemeClr val="tx1"/>
            </a:solidFill>
            <a:prstDash val="soli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59973376"/>
        <c:crosses val="autoZero"/>
        <c:crossBetween val="between"/>
      </c:valAx>
      <c:valAx>
        <c:axId val="2075270639"/>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2075264399"/>
        <c:crosses val="max"/>
        <c:crossBetween val="between"/>
      </c:valAx>
      <c:catAx>
        <c:axId val="2075264399"/>
        <c:scaling>
          <c:orientation val="minMax"/>
        </c:scaling>
        <c:delete val="1"/>
        <c:axPos val="b"/>
        <c:majorTickMark val="out"/>
        <c:minorTickMark val="none"/>
        <c:tickLblPos val="nextTo"/>
        <c:crossAx val="2075270639"/>
        <c:crosses val="autoZero"/>
        <c:auto val="1"/>
        <c:lblAlgn val="ctr"/>
        <c:lblOffset val="100"/>
        <c:noMultiLvlLbl val="0"/>
      </c:catAx>
      <c:spPr>
        <a:solidFill>
          <a:srgbClr val="FFFFFF"/>
        </a:solidFill>
        <a:ln w="3175">
          <a:noFill/>
          <a:prstDash val="solid"/>
        </a:ln>
        <a:effectLst/>
      </c:spPr>
    </c:plotArea>
    <c:legend>
      <c:legendPos val="tr"/>
      <c:layout>
        <c:manualLayout>
          <c:xMode val="edge"/>
          <c:yMode val="edge"/>
          <c:x val="0.62705484750727492"/>
          <c:y val="1.4129206962101832E-2"/>
          <c:w val="0.20939024929824984"/>
          <c:h val="0.11379544068781994"/>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7971718560571"/>
          <c:y val="4.955213313597609E-2"/>
          <c:w val="0.79964331382020248"/>
          <c:h val="0.80652108909700548"/>
        </c:manualLayout>
      </c:layout>
      <c:barChart>
        <c:barDir val="col"/>
        <c:grouping val="clustered"/>
        <c:varyColors val="0"/>
        <c:ser>
          <c:idx val="3"/>
          <c:order val="3"/>
          <c:tx>
            <c:strRef>
              <c:f>'Figure 2.4.1.'!$L$1</c:f>
              <c:strCache>
                <c:ptCount val="1"/>
                <c:pt idx="0">
                  <c:v>Shade</c:v>
                </c:pt>
              </c:strCache>
            </c:strRef>
          </c:tx>
          <c:spPr>
            <a:solidFill>
              <a:schemeClr val="accent3">
                <a:lumMod val="60000"/>
                <a:lumOff val="40000"/>
              </a:schemeClr>
            </a:solidFill>
            <a:ln>
              <a:noFill/>
            </a:ln>
            <a:effectLst/>
          </c:spPr>
          <c:invertIfNegative val="0"/>
          <c:val>
            <c:numRef>
              <c:f>'Figure 2.4.1.'!$L$2:$L$223</c:f>
              <c:numCache>
                <c:formatCode>General</c:formatCode>
                <c:ptCount val="222"/>
                <c:pt idx="114">
                  <c:v>150</c:v>
                </c:pt>
                <c:pt idx="115">
                  <c:v>150</c:v>
                </c:pt>
                <c:pt idx="116">
                  <c:v>150</c:v>
                </c:pt>
                <c:pt idx="117">
                  <c:v>150</c:v>
                </c:pt>
                <c:pt idx="118">
                  <c:v>150</c:v>
                </c:pt>
                <c:pt idx="139">
                  <c:v>150</c:v>
                </c:pt>
                <c:pt idx="140">
                  <c:v>150</c:v>
                </c:pt>
                <c:pt idx="141">
                  <c:v>150</c:v>
                </c:pt>
                <c:pt idx="142">
                  <c:v>150</c:v>
                </c:pt>
                <c:pt idx="143">
                  <c:v>150</c:v>
                </c:pt>
                <c:pt idx="144">
                  <c:v>150</c:v>
                </c:pt>
                <c:pt idx="220">
                  <c:v>150</c:v>
                </c:pt>
              </c:numCache>
            </c:numRef>
          </c:val>
          <c:extLst>
            <c:ext xmlns:c16="http://schemas.microsoft.com/office/drawing/2014/chart" uri="{C3380CC4-5D6E-409C-BE32-E72D297353CC}">
              <c16:uniqueId val="{00000000-D545-47BA-B058-767922E9BF1F}"/>
            </c:ext>
          </c:extLst>
        </c:ser>
        <c:dLbls>
          <c:showLegendKey val="0"/>
          <c:showVal val="0"/>
          <c:showCatName val="0"/>
          <c:showSerName val="0"/>
          <c:showPercent val="0"/>
          <c:showBubbleSize val="0"/>
        </c:dLbls>
        <c:gapWidth val="0"/>
        <c:overlap val="100"/>
        <c:axId val="297289984"/>
        <c:axId val="297293312"/>
      </c:barChart>
      <c:lineChart>
        <c:grouping val="standard"/>
        <c:varyColors val="0"/>
        <c:ser>
          <c:idx val="2"/>
          <c:order val="2"/>
          <c:tx>
            <c:strRef>
              <c:f>'Figure 2.4.1.'!$R$1</c:f>
              <c:strCache>
                <c:ptCount val="1"/>
                <c:pt idx="0">
                  <c:v>Debt (left scale)</c:v>
                </c:pt>
              </c:strCache>
            </c:strRef>
          </c:tx>
          <c:spPr>
            <a:ln w="22225" cap="rnd">
              <a:solidFill>
                <a:srgbClr val="7030A0"/>
              </a:solidFill>
              <a:round/>
            </a:ln>
            <a:effectLst/>
          </c:spPr>
          <c:marker>
            <c:symbol val="none"/>
          </c:marker>
          <c:cat>
            <c:numRef>
              <c:f>'Figure 2.4.1.'!$K$2:$K$223</c:f>
              <c:numCache>
                <c:formatCode>General</c:formatCode>
                <c:ptCount val="222"/>
                <c:pt idx="0">
                  <c:v>1800</c:v>
                </c:pt>
                <c:pt idx="1">
                  <c:v>1801</c:v>
                </c:pt>
                <c:pt idx="2">
                  <c:v>1802</c:v>
                </c:pt>
                <c:pt idx="3">
                  <c:v>1803</c:v>
                </c:pt>
                <c:pt idx="4">
                  <c:v>1804</c:v>
                </c:pt>
                <c:pt idx="5">
                  <c:v>1805</c:v>
                </c:pt>
                <c:pt idx="6">
                  <c:v>1806</c:v>
                </c:pt>
                <c:pt idx="7">
                  <c:v>1807</c:v>
                </c:pt>
                <c:pt idx="8">
                  <c:v>1808</c:v>
                </c:pt>
                <c:pt idx="9">
                  <c:v>1809</c:v>
                </c:pt>
                <c:pt idx="10">
                  <c:v>10</c:v>
                </c:pt>
                <c:pt idx="11">
                  <c:v>1811</c:v>
                </c:pt>
                <c:pt idx="12">
                  <c:v>1812</c:v>
                </c:pt>
                <c:pt idx="13">
                  <c:v>1813</c:v>
                </c:pt>
                <c:pt idx="14">
                  <c:v>1814</c:v>
                </c:pt>
                <c:pt idx="15">
                  <c:v>1815</c:v>
                </c:pt>
                <c:pt idx="16">
                  <c:v>1816</c:v>
                </c:pt>
                <c:pt idx="17">
                  <c:v>1817</c:v>
                </c:pt>
                <c:pt idx="18">
                  <c:v>1818</c:v>
                </c:pt>
                <c:pt idx="19">
                  <c:v>1819</c:v>
                </c:pt>
                <c:pt idx="20">
                  <c:v>20</c:v>
                </c:pt>
                <c:pt idx="21">
                  <c:v>1821</c:v>
                </c:pt>
                <c:pt idx="22">
                  <c:v>1822</c:v>
                </c:pt>
                <c:pt idx="23">
                  <c:v>1823</c:v>
                </c:pt>
                <c:pt idx="24">
                  <c:v>1824</c:v>
                </c:pt>
                <c:pt idx="25">
                  <c:v>1825</c:v>
                </c:pt>
                <c:pt idx="26">
                  <c:v>1826</c:v>
                </c:pt>
                <c:pt idx="27">
                  <c:v>1827</c:v>
                </c:pt>
                <c:pt idx="28">
                  <c:v>1828</c:v>
                </c:pt>
                <c:pt idx="29">
                  <c:v>1829</c:v>
                </c:pt>
                <c:pt idx="30">
                  <c:v>30</c:v>
                </c:pt>
                <c:pt idx="31">
                  <c:v>1831</c:v>
                </c:pt>
                <c:pt idx="32">
                  <c:v>1832</c:v>
                </c:pt>
                <c:pt idx="33">
                  <c:v>1833</c:v>
                </c:pt>
                <c:pt idx="34">
                  <c:v>1834</c:v>
                </c:pt>
                <c:pt idx="35">
                  <c:v>1835</c:v>
                </c:pt>
                <c:pt idx="36">
                  <c:v>1836</c:v>
                </c:pt>
                <c:pt idx="37">
                  <c:v>1837</c:v>
                </c:pt>
                <c:pt idx="38">
                  <c:v>1838</c:v>
                </c:pt>
                <c:pt idx="39">
                  <c:v>1839</c:v>
                </c:pt>
                <c:pt idx="40">
                  <c:v>40</c:v>
                </c:pt>
                <c:pt idx="41">
                  <c:v>1841</c:v>
                </c:pt>
                <c:pt idx="42">
                  <c:v>1842</c:v>
                </c:pt>
                <c:pt idx="43">
                  <c:v>1843</c:v>
                </c:pt>
                <c:pt idx="44">
                  <c:v>1844</c:v>
                </c:pt>
                <c:pt idx="45">
                  <c:v>1845</c:v>
                </c:pt>
                <c:pt idx="46">
                  <c:v>1846</c:v>
                </c:pt>
                <c:pt idx="47">
                  <c:v>1847</c:v>
                </c:pt>
                <c:pt idx="48">
                  <c:v>1848</c:v>
                </c:pt>
                <c:pt idx="49">
                  <c:v>1849</c:v>
                </c:pt>
                <c:pt idx="50">
                  <c:v>50</c:v>
                </c:pt>
                <c:pt idx="51">
                  <c:v>1851</c:v>
                </c:pt>
                <c:pt idx="52">
                  <c:v>1852</c:v>
                </c:pt>
                <c:pt idx="53">
                  <c:v>1853</c:v>
                </c:pt>
                <c:pt idx="54">
                  <c:v>1854</c:v>
                </c:pt>
                <c:pt idx="55">
                  <c:v>1855</c:v>
                </c:pt>
                <c:pt idx="56">
                  <c:v>1856</c:v>
                </c:pt>
                <c:pt idx="57">
                  <c:v>1857</c:v>
                </c:pt>
                <c:pt idx="58">
                  <c:v>1858</c:v>
                </c:pt>
                <c:pt idx="59">
                  <c:v>1859</c:v>
                </c:pt>
                <c:pt idx="60">
                  <c:v>60</c:v>
                </c:pt>
                <c:pt idx="61">
                  <c:v>1861</c:v>
                </c:pt>
                <c:pt idx="62">
                  <c:v>1862</c:v>
                </c:pt>
                <c:pt idx="63">
                  <c:v>1863</c:v>
                </c:pt>
                <c:pt idx="64">
                  <c:v>1864</c:v>
                </c:pt>
                <c:pt idx="65">
                  <c:v>1865</c:v>
                </c:pt>
                <c:pt idx="66">
                  <c:v>1866</c:v>
                </c:pt>
                <c:pt idx="67">
                  <c:v>1867</c:v>
                </c:pt>
                <c:pt idx="68">
                  <c:v>1868</c:v>
                </c:pt>
                <c:pt idx="69">
                  <c:v>1869</c:v>
                </c:pt>
                <c:pt idx="70">
                  <c:v>70</c:v>
                </c:pt>
                <c:pt idx="71">
                  <c:v>1871</c:v>
                </c:pt>
                <c:pt idx="72">
                  <c:v>1872</c:v>
                </c:pt>
                <c:pt idx="73">
                  <c:v>1873</c:v>
                </c:pt>
                <c:pt idx="74">
                  <c:v>1874</c:v>
                </c:pt>
                <c:pt idx="75">
                  <c:v>1875</c:v>
                </c:pt>
                <c:pt idx="76">
                  <c:v>1876</c:v>
                </c:pt>
                <c:pt idx="77">
                  <c:v>1877</c:v>
                </c:pt>
                <c:pt idx="78">
                  <c:v>1878</c:v>
                </c:pt>
                <c:pt idx="79">
                  <c:v>1879</c:v>
                </c:pt>
                <c:pt idx="80">
                  <c:v>80</c:v>
                </c:pt>
                <c:pt idx="81">
                  <c:v>1881</c:v>
                </c:pt>
                <c:pt idx="82">
                  <c:v>1882</c:v>
                </c:pt>
                <c:pt idx="83">
                  <c:v>1883</c:v>
                </c:pt>
                <c:pt idx="84">
                  <c:v>1884</c:v>
                </c:pt>
                <c:pt idx="85">
                  <c:v>1885</c:v>
                </c:pt>
                <c:pt idx="86">
                  <c:v>1886</c:v>
                </c:pt>
                <c:pt idx="87">
                  <c:v>1887</c:v>
                </c:pt>
                <c:pt idx="88">
                  <c:v>1888</c:v>
                </c:pt>
                <c:pt idx="89">
                  <c:v>1889</c:v>
                </c:pt>
                <c:pt idx="90">
                  <c:v>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10</c:v>
                </c:pt>
                <c:pt idx="111">
                  <c:v>1911</c:v>
                </c:pt>
                <c:pt idx="112">
                  <c:v>1912</c:v>
                </c:pt>
                <c:pt idx="113">
                  <c:v>1913</c:v>
                </c:pt>
                <c:pt idx="114">
                  <c:v>1914</c:v>
                </c:pt>
                <c:pt idx="115">
                  <c:v>1915</c:v>
                </c:pt>
                <c:pt idx="116">
                  <c:v>1916</c:v>
                </c:pt>
                <c:pt idx="117">
                  <c:v>1917</c:v>
                </c:pt>
                <c:pt idx="118">
                  <c:v>1918</c:v>
                </c:pt>
                <c:pt idx="119">
                  <c:v>1919</c:v>
                </c:pt>
                <c:pt idx="120">
                  <c:v>20</c:v>
                </c:pt>
                <c:pt idx="121">
                  <c:v>1921</c:v>
                </c:pt>
                <c:pt idx="122">
                  <c:v>1922</c:v>
                </c:pt>
                <c:pt idx="123">
                  <c:v>1923</c:v>
                </c:pt>
                <c:pt idx="124">
                  <c:v>1924</c:v>
                </c:pt>
                <c:pt idx="125">
                  <c:v>1925</c:v>
                </c:pt>
                <c:pt idx="126">
                  <c:v>1926</c:v>
                </c:pt>
                <c:pt idx="127">
                  <c:v>1927</c:v>
                </c:pt>
                <c:pt idx="128">
                  <c:v>1928</c:v>
                </c:pt>
                <c:pt idx="129">
                  <c:v>1929</c:v>
                </c:pt>
                <c:pt idx="130">
                  <c:v>30</c:v>
                </c:pt>
                <c:pt idx="131">
                  <c:v>1931</c:v>
                </c:pt>
                <c:pt idx="132">
                  <c:v>1932</c:v>
                </c:pt>
                <c:pt idx="133">
                  <c:v>1933</c:v>
                </c:pt>
                <c:pt idx="134">
                  <c:v>1934</c:v>
                </c:pt>
                <c:pt idx="135">
                  <c:v>1935</c:v>
                </c:pt>
                <c:pt idx="136">
                  <c:v>1936</c:v>
                </c:pt>
                <c:pt idx="137">
                  <c:v>1937</c:v>
                </c:pt>
                <c:pt idx="138">
                  <c:v>1938</c:v>
                </c:pt>
                <c:pt idx="139">
                  <c:v>1939</c:v>
                </c:pt>
                <c:pt idx="140">
                  <c:v>40</c:v>
                </c:pt>
                <c:pt idx="141">
                  <c:v>1941</c:v>
                </c:pt>
                <c:pt idx="142">
                  <c:v>1942</c:v>
                </c:pt>
                <c:pt idx="143">
                  <c:v>1943</c:v>
                </c:pt>
                <c:pt idx="144">
                  <c:v>1944</c:v>
                </c:pt>
                <c:pt idx="145">
                  <c:v>1945</c:v>
                </c:pt>
                <c:pt idx="146">
                  <c:v>1946</c:v>
                </c:pt>
                <c:pt idx="147">
                  <c:v>1947</c:v>
                </c:pt>
                <c:pt idx="148">
                  <c:v>1948</c:v>
                </c:pt>
                <c:pt idx="149">
                  <c:v>1949</c:v>
                </c:pt>
                <c:pt idx="150">
                  <c:v>50</c:v>
                </c:pt>
                <c:pt idx="151">
                  <c:v>1951</c:v>
                </c:pt>
                <c:pt idx="152">
                  <c:v>1952</c:v>
                </c:pt>
                <c:pt idx="153">
                  <c:v>1953</c:v>
                </c:pt>
                <c:pt idx="154">
                  <c:v>1954</c:v>
                </c:pt>
                <c:pt idx="155">
                  <c:v>1955</c:v>
                </c:pt>
                <c:pt idx="156">
                  <c:v>1956</c:v>
                </c:pt>
                <c:pt idx="157">
                  <c:v>1957</c:v>
                </c:pt>
                <c:pt idx="158">
                  <c:v>1958</c:v>
                </c:pt>
                <c:pt idx="159">
                  <c:v>1959</c:v>
                </c:pt>
                <c:pt idx="160">
                  <c:v>60</c:v>
                </c:pt>
                <c:pt idx="161">
                  <c:v>1961</c:v>
                </c:pt>
                <c:pt idx="162">
                  <c:v>1962</c:v>
                </c:pt>
                <c:pt idx="163">
                  <c:v>1963</c:v>
                </c:pt>
                <c:pt idx="164">
                  <c:v>1964</c:v>
                </c:pt>
                <c:pt idx="165">
                  <c:v>1965</c:v>
                </c:pt>
                <c:pt idx="166">
                  <c:v>1966</c:v>
                </c:pt>
                <c:pt idx="167">
                  <c:v>1967</c:v>
                </c:pt>
                <c:pt idx="168">
                  <c:v>1968</c:v>
                </c:pt>
                <c:pt idx="169">
                  <c:v>1969</c:v>
                </c:pt>
                <c:pt idx="170">
                  <c:v>70</c:v>
                </c:pt>
                <c:pt idx="171">
                  <c:v>1971</c:v>
                </c:pt>
                <c:pt idx="172">
                  <c:v>1972</c:v>
                </c:pt>
                <c:pt idx="173">
                  <c:v>1973</c:v>
                </c:pt>
                <c:pt idx="174">
                  <c:v>1974</c:v>
                </c:pt>
                <c:pt idx="175">
                  <c:v>1975</c:v>
                </c:pt>
                <c:pt idx="176">
                  <c:v>1976</c:v>
                </c:pt>
                <c:pt idx="177">
                  <c:v>1977</c:v>
                </c:pt>
                <c:pt idx="178">
                  <c:v>1978</c:v>
                </c:pt>
                <c:pt idx="179">
                  <c:v>1979</c:v>
                </c:pt>
                <c:pt idx="180">
                  <c:v>80</c:v>
                </c:pt>
                <c:pt idx="181">
                  <c:v>1981</c:v>
                </c:pt>
                <c:pt idx="182">
                  <c:v>1982</c:v>
                </c:pt>
                <c:pt idx="183">
                  <c:v>1983</c:v>
                </c:pt>
                <c:pt idx="184">
                  <c:v>1984</c:v>
                </c:pt>
                <c:pt idx="185">
                  <c:v>1985</c:v>
                </c:pt>
                <c:pt idx="186">
                  <c:v>1986</c:v>
                </c:pt>
                <c:pt idx="187">
                  <c:v>1987</c:v>
                </c:pt>
                <c:pt idx="188">
                  <c:v>1988</c:v>
                </c:pt>
                <c:pt idx="189">
                  <c:v>1989</c:v>
                </c:pt>
                <c:pt idx="190">
                  <c:v>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10</c:v>
                </c:pt>
                <c:pt idx="211">
                  <c:v>2011</c:v>
                </c:pt>
                <c:pt idx="212">
                  <c:v>2012</c:v>
                </c:pt>
                <c:pt idx="213">
                  <c:v>2013</c:v>
                </c:pt>
                <c:pt idx="214">
                  <c:v>2014</c:v>
                </c:pt>
                <c:pt idx="215">
                  <c:v>2015</c:v>
                </c:pt>
                <c:pt idx="216">
                  <c:v>2016</c:v>
                </c:pt>
                <c:pt idx="217">
                  <c:v>2017</c:v>
                </c:pt>
                <c:pt idx="218">
                  <c:v>2018</c:v>
                </c:pt>
                <c:pt idx="219">
                  <c:v>2019</c:v>
                </c:pt>
                <c:pt idx="220">
                  <c:v>20</c:v>
                </c:pt>
                <c:pt idx="221">
                  <c:v>2021</c:v>
                </c:pt>
              </c:numCache>
            </c:numRef>
          </c:cat>
          <c:val>
            <c:numRef>
              <c:f>'Figure 2.4.1.'!$R$2:$R$223</c:f>
              <c:numCache>
                <c:formatCode>0</c:formatCode>
                <c:ptCount val="222"/>
                <c:pt idx="0">
                  <c:v>18.091100999999998</c:v>
                </c:pt>
                <c:pt idx="1">
                  <c:v>15.2865</c:v>
                </c:pt>
                <c:pt idx="2">
                  <c:v>15.7255</c:v>
                </c:pt>
                <c:pt idx="3">
                  <c:v>17.7104</c:v>
                </c:pt>
                <c:pt idx="4">
                  <c:v>15.414199999999999</c:v>
                </c:pt>
                <c:pt idx="5">
                  <c:v>12.791</c:v>
                </c:pt>
                <c:pt idx="6">
                  <c:v>11.3659</c:v>
                </c:pt>
                <c:pt idx="7">
                  <c:v>11.5596</c:v>
                </c:pt>
                <c:pt idx="8">
                  <c:v>12.369400000000001</c:v>
                </c:pt>
                <c:pt idx="9">
                  <c:v>10.5922</c:v>
                </c:pt>
                <c:pt idx="10">
                  <c:v>8.1642904000000005</c:v>
                </c:pt>
                <c:pt idx="11">
                  <c:v>7.7948297999999996</c:v>
                </c:pt>
                <c:pt idx="12">
                  <c:v>9.8353300000000008</c:v>
                </c:pt>
                <c:pt idx="13">
                  <c:v>13.0799</c:v>
                </c:pt>
                <c:pt idx="14">
                  <c:v>14.2416</c:v>
                </c:pt>
                <c:pt idx="15">
                  <c:v>15.681699999999999</c:v>
                </c:pt>
                <c:pt idx="16">
                  <c:v>14.4604</c:v>
                </c:pt>
                <c:pt idx="17">
                  <c:v>12.2157</c:v>
                </c:pt>
                <c:pt idx="18">
                  <c:v>11.707100000000001</c:v>
                </c:pt>
                <c:pt idx="19">
                  <c:v>12.071099999999999</c:v>
                </c:pt>
                <c:pt idx="20">
                  <c:v>13.717499999999999</c:v>
                </c:pt>
                <c:pt idx="21">
                  <c:v>15.4114</c:v>
                </c:pt>
                <c:pt idx="22">
                  <c:v>12.9085</c:v>
                </c:pt>
                <c:pt idx="23">
                  <c:v>12.914199999999999</c:v>
                </c:pt>
                <c:pt idx="24">
                  <c:v>11.1569</c:v>
                </c:pt>
                <c:pt idx="25">
                  <c:v>9.5357599000000004</c:v>
                </c:pt>
                <c:pt idx="26">
                  <c:v>8.3695698000000007</c:v>
                </c:pt>
                <c:pt idx="27">
                  <c:v>7.7736200999999996</c:v>
                </c:pt>
                <c:pt idx="28">
                  <c:v>6.6312198999999996</c:v>
                </c:pt>
                <c:pt idx="29">
                  <c:v>5.3663001000000001</c:v>
                </c:pt>
                <c:pt idx="30">
                  <c:v>4.1932501999999996</c:v>
                </c:pt>
                <c:pt idx="31">
                  <c:v>2.2667301000000002</c:v>
                </c:pt>
                <c:pt idx="32">
                  <c:v>0.60710001000000002</c:v>
                </c:pt>
                <c:pt idx="33">
                  <c:v>0.36671798999999999</c:v>
                </c:pt>
                <c:pt idx="34">
                  <c:v>2.8509999999999998E-3</c:v>
                </c:pt>
                <c:pt idx="35">
                  <c:v>2.3270000000000001E-3</c:v>
                </c:pt>
                <c:pt idx="36">
                  <c:v>1.7774000000000002E-2</c:v>
                </c:pt>
                <c:pt idx="37">
                  <c:v>0.18076500000000001</c:v>
                </c:pt>
                <c:pt idx="38">
                  <c:v>0.59351498000000003</c:v>
                </c:pt>
                <c:pt idx="39">
                  <c:v>0.18493799999999999</c:v>
                </c:pt>
                <c:pt idx="40">
                  <c:v>0.30352601000000001</c:v>
                </c:pt>
                <c:pt idx="41">
                  <c:v>0.77947199</c:v>
                </c:pt>
                <c:pt idx="42">
                  <c:v>1.20964</c:v>
                </c:pt>
                <c:pt idx="43">
                  <c:v>2.0014099999999999</c:v>
                </c:pt>
                <c:pt idx="44">
                  <c:v>1.29339</c:v>
                </c:pt>
                <c:pt idx="45">
                  <c:v>0.81416100000000002</c:v>
                </c:pt>
                <c:pt idx="46">
                  <c:v>0.75412201999999995</c:v>
                </c:pt>
                <c:pt idx="47">
                  <c:v>1.66283</c:v>
                </c:pt>
                <c:pt idx="48">
                  <c:v>1.98251</c:v>
                </c:pt>
                <c:pt idx="49">
                  <c:v>2.6903600999999999</c:v>
                </c:pt>
                <c:pt idx="50">
                  <c:v>2.5011000999999999</c:v>
                </c:pt>
                <c:pt idx="51">
                  <c:v>2.5204799000000002</c:v>
                </c:pt>
                <c:pt idx="52">
                  <c:v>2.22967</c:v>
                </c:pt>
                <c:pt idx="53">
                  <c:v>1.74308</c:v>
                </c:pt>
                <c:pt idx="54">
                  <c:v>1.0884799999999999</c:v>
                </c:pt>
                <c:pt idx="55">
                  <c:v>0.87958502999999999</c:v>
                </c:pt>
                <c:pt idx="56">
                  <c:v>0.76201200000000002</c:v>
                </c:pt>
                <c:pt idx="57">
                  <c:v>0.66499101999999999</c:v>
                </c:pt>
                <c:pt idx="58">
                  <c:v>1.1040601000000001</c:v>
                </c:pt>
                <c:pt idx="59">
                  <c:v>1.3645400000000001</c:v>
                </c:pt>
                <c:pt idx="60">
                  <c:v>1.4457998999999999</c:v>
                </c:pt>
                <c:pt idx="61">
                  <c:v>1.9392400000000001</c:v>
                </c:pt>
                <c:pt idx="62">
                  <c:v>9.5132103000000008</c:v>
                </c:pt>
                <c:pt idx="63">
                  <c:v>15.2537</c:v>
                </c:pt>
                <c:pt idx="64">
                  <c:v>19.0578</c:v>
                </c:pt>
                <c:pt idx="65">
                  <c:v>28.452299</c:v>
                </c:pt>
                <c:pt idx="66">
                  <c:v>30.107800000000001</c:v>
                </c:pt>
                <c:pt idx="67">
                  <c:v>29.894698999999999</c:v>
                </c:pt>
                <c:pt idx="68">
                  <c:v>29.763200999999999</c:v>
                </c:pt>
                <c:pt idx="69">
                  <c:v>29.625298999999998</c:v>
                </c:pt>
                <c:pt idx="70">
                  <c:v>29.8841</c:v>
                </c:pt>
                <c:pt idx="71">
                  <c:v>28.935199999999998</c:v>
                </c:pt>
                <c:pt idx="72">
                  <c:v>23.616099999999999</c:v>
                </c:pt>
                <c:pt idx="73">
                  <c:v>23.1313</c:v>
                </c:pt>
                <c:pt idx="74">
                  <c:v>24.9848</c:v>
                </c:pt>
                <c:pt idx="75">
                  <c:v>25.466801</c:v>
                </c:pt>
                <c:pt idx="76">
                  <c:v>24.543301</c:v>
                </c:pt>
                <c:pt idx="77">
                  <c:v>22.945399999999999</c:v>
                </c:pt>
                <c:pt idx="78">
                  <c:v>23.816199999999998</c:v>
                </c:pt>
                <c:pt idx="79">
                  <c:v>23.741699000000001</c:v>
                </c:pt>
                <c:pt idx="80">
                  <c:v>17.508900000000001</c:v>
                </c:pt>
                <c:pt idx="81">
                  <c:v>17.057699</c:v>
                </c:pt>
                <c:pt idx="82">
                  <c:v>13.8102</c:v>
                </c:pt>
                <c:pt idx="83">
                  <c:v>13.7691</c:v>
                </c:pt>
                <c:pt idx="84">
                  <c:v>13.293900000000001</c:v>
                </c:pt>
                <c:pt idx="85">
                  <c:v>12.953799999999999</c:v>
                </c:pt>
                <c:pt idx="86">
                  <c:v>11.590400000000001</c:v>
                </c:pt>
                <c:pt idx="87">
                  <c:v>10.590299999999999</c:v>
                </c:pt>
                <c:pt idx="88">
                  <c:v>10.1371</c:v>
                </c:pt>
                <c:pt idx="89">
                  <c:v>8.5880203000000002</c:v>
                </c:pt>
                <c:pt idx="90">
                  <c:v>7.7337398999999998</c:v>
                </c:pt>
                <c:pt idx="91">
                  <c:v>6.4640598000000002</c:v>
                </c:pt>
                <c:pt idx="92">
                  <c:v>6.1776198999999998</c:v>
                </c:pt>
                <c:pt idx="93">
                  <c:v>6.3239597999999999</c:v>
                </c:pt>
                <c:pt idx="94">
                  <c:v>7.4645700000000001</c:v>
                </c:pt>
                <c:pt idx="95">
                  <c:v>7.0878300999999997</c:v>
                </c:pt>
                <c:pt idx="96">
                  <c:v>7.9948300999999997</c:v>
                </c:pt>
                <c:pt idx="97">
                  <c:v>7.7040601000000004</c:v>
                </c:pt>
                <c:pt idx="98">
                  <c:v>7.4351200999999998</c:v>
                </c:pt>
                <c:pt idx="99">
                  <c:v>7.7605000000000004</c:v>
                </c:pt>
                <c:pt idx="100">
                  <c:v>6.5496001000000001</c:v>
                </c:pt>
                <c:pt idx="101">
                  <c:v>5.6470599000000004</c:v>
                </c:pt>
                <c:pt idx="102">
                  <c:v>5.3074002</c:v>
                </c:pt>
                <c:pt idx="103">
                  <c:v>4.7786898999999998</c:v>
                </c:pt>
                <c:pt idx="104">
                  <c:v>4.8858800000000002</c:v>
                </c:pt>
                <c:pt idx="105">
                  <c:v>4.4201598000000004</c:v>
                </c:pt>
                <c:pt idx="106">
                  <c:v>3.7915999999999999</c:v>
                </c:pt>
                <c:pt idx="107">
                  <c:v>3.7162799999999998</c:v>
                </c:pt>
                <c:pt idx="108">
                  <c:v>4.4891700999999999</c:v>
                </c:pt>
                <c:pt idx="109">
                  <c:v>3.7477600999999998</c:v>
                </c:pt>
                <c:pt idx="110">
                  <c:v>3.62852</c:v>
                </c:pt>
                <c:pt idx="111">
                  <c:v>3.5401598999999999</c:v>
                </c:pt>
                <c:pt idx="112">
                  <c:v>3.4118499999999998</c:v>
                </c:pt>
                <c:pt idx="113">
                  <c:v>3.2493899000000002</c:v>
                </c:pt>
                <c:pt idx="114">
                  <c:v>3.4667699000000001</c:v>
                </c:pt>
                <c:pt idx="115">
                  <c:v>3.3071400999999998</c:v>
                </c:pt>
                <c:pt idx="116">
                  <c:v>2.74119</c:v>
                </c:pt>
                <c:pt idx="117">
                  <c:v>5.7167401</c:v>
                </c:pt>
                <c:pt idx="118">
                  <c:v>18.639999</c:v>
                </c:pt>
                <c:pt idx="119">
                  <c:v>33.282200000000003</c:v>
                </c:pt>
                <c:pt idx="120">
                  <c:v>27.910399999999999</c:v>
                </c:pt>
                <c:pt idx="121">
                  <c:v>32.428199999999997</c:v>
                </c:pt>
                <c:pt idx="122">
                  <c:v>31.534901000000001</c:v>
                </c:pt>
                <c:pt idx="123">
                  <c:v>26.322299999999998</c:v>
                </c:pt>
                <c:pt idx="124">
                  <c:v>24.419799999999999</c:v>
                </c:pt>
                <c:pt idx="125">
                  <c:v>22.459101</c:v>
                </c:pt>
                <c:pt idx="126">
                  <c:v>20.155999999999999</c:v>
                </c:pt>
                <c:pt idx="127">
                  <c:v>19.123501000000001</c:v>
                </c:pt>
                <c:pt idx="128">
                  <c:v>18.185300999999999</c:v>
                </c:pt>
                <c:pt idx="129">
                  <c:v>16.327000000000002</c:v>
                </c:pt>
                <c:pt idx="130">
                  <c:v>17.727599999999999</c:v>
                </c:pt>
                <c:pt idx="131">
                  <c:v>21.933800000000002</c:v>
                </c:pt>
                <c:pt idx="132">
                  <c:v>33.141201000000002</c:v>
                </c:pt>
                <c:pt idx="133">
                  <c:v>39.962200000000003</c:v>
                </c:pt>
                <c:pt idx="134">
                  <c:v>40.989601</c:v>
                </c:pt>
                <c:pt idx="135">
                  <c:v>39.155399000000003</c:v>
                </c:pt>
                <c:pt idx="136">
                  <c:v>40.356701000000001</c:v>
                </c:pt>
                <c:pt idx="137">
                  <c:v>39.635100999999999</c:v>
                </c:pt>
                <c:pt idx="138">
                  <c:v>43.1646</c:v>
                </c:pt>
                <c:pt idx="139">
                  <c:v>43.956001000000001</c:v>
                </c:pt>
                <c:pt idx="140">
                  <c:v>42.4161</c:v>
                </c:pt>
                <c:pt idx="141">
                  <c:v>38.643599999999999</c:v>
                </c:pt>
                <c:pt idx="142">
                  <c:v>44.760399</c:v>
                </c:pt>
                <c:pt idx="143">
                  <c:v>68.899199999999993</c:v>
                </c:pt>
                <c:pt idx="144">
                  <c:v>91.489898999999994</c:v>
                </c:pt>
                <c:pt idx="145">
                  <c:v>116.001</c:v>
                </c:pt>
                <c:pt idx="146">
                  <c:v>121.19799999999999</c:v>
                </c:pt>
                <c:pt idx="147">
                  <c:v>105.682</c:v>
                </c:pt>
                <c:pt idx="148">
                  <c:v>93.580200000000005</c:v>
                </c:pt>
                <c:pt idx="149">
                  <c:v>94.422996999999995</c:v>
                </c:pt>
                <c:pt idx="150">
                  <c:v>87.447304000000003</c:v>
                </c:pt>
                <c:pt idx="151">
                  <c:v>75.175797000000003</c:v>
                </c:pt>
                <c:pt idx="152">
                  <c:v>72.254600999999994</c:v>
                </c:pt>
                <c:pt idx="153">
                  <c:v>70.037102000000004</c:v>
                </c:pt>
                <c:pt idx="154">
                  <c:v>71.178100999999998</c:v>
                </c:pt>
                <c:pt idx="155">
                  <c:v>66.082397</c:v>
                </c:pt>
                <c:pt idx="156">
                  <c:v>62.271900000000002</c:v>
                </c:pt>
                <c:pt idx="157">
                  <c:v>58.619098999999999</c:v>
                </c:pt>
                <c:pt idx="158">
                  <c:v>59.060299000000001</c:v>
                </c:pt>
                <c:pt idx="159">
                  <c:v>56.110698999999997</c:v>
                </c:pt>
                <c:pt idx="160">
                  <c:v>61.724499000000002</c:v>
                </c:pt>
                <c:pt idx="161">
                  <c:v>62.251399999999997</c:v>
                </c:pt>
                <c:pt idx="162">
                  <c:v>60.1614</c:v>
                </c:pt>
                <c:pt idx="163">
                  <c:v>58.808601000000003</c:v>
                </c:pt>
                <c:pt idx="164">
                  <c:v>56.700499999999998</c:v>
                </c:pt>
                <c:pt idx="165">
                  <c:v>53.710098000000002</c:v>
                </c:pt>
                <c:pt idx="166">
                  <c:v>50.648299999999999</c:v>
                </c:pt>
                <c:pt idx="167">
                  <c:v>50.442101000000001</c:v>
                </c:pt>
                <c:pt idx="168">
                  <c:v>48.482899000000003</c:v>
                </c:pt>
                <c:pt idx="169">
                  <c:v>45.913898000000003</c:v>
                </c:pt>
                <c:pt idx="170">
                  <c:v>46.363300000000002</c:v>
                </c:pt>
                <c:pt idx="171">
                  <c:v>46.991298999999998</c:v>
                </c:pt>
                <c:pt idx="172">
                  <c:v>45.432098000000003</c:v>
                </c:pt>
                <c:pt idx="173">
                  <c:v>42.592399999999998</c:v>
                </c:pt>
                <c:pt idx="174">
                  <c:v>41.443100000000001</c:v>
                </c:pt>
                <c:pt idx="175">
                  <c:v>44.602699000000001</c:v>
                </c:pt>
                <c:pt idx="176">
                  <c:v>44.764598999999997</c:v>
                </c:pt>
                <c:pt idx="177">
                  <c:v>43.577202</c:v>
                </c:pt>
                <c:pt idx="178">
                  <c:v>42.522399999999998</c:v>
                </c:pt>
                <c:pt idx="179">
                  <c:v>41.228499999999997</c:v>
                </c:pt>
                <c:pt idx="180">
                  <c:v>41.865699999999997</c:v>
                </c:pt>
                <c:pt idx="181">
                  <c:v>41.050300999999997</c:v>
                </c:pt>
                <c:pt idx="182">
                  <c:v>45.919497999999997</c:v>
                </c:pt>
                <c:pt idx="183">
                  <c:v>48.931198000000002</c:v>
                </c:pt>
                <c:pt idx="184">
                  <c:v>50.584099000000002</c:v>
                </c:pt>
                <c:pt idx="185">
                  <c:v>55.445801000000003</c:v>
                </c:pt>
                <c:pt idx="186">
                  <c:v>58.884498999999998</c:v>
                </c:pt>
                <c:pt idx="187">
                  <c:v>60.626598000000001</c:v>
                </c:pt>
                <c:pt idx="188">
                  <c:v>61.296700000000001</c:v>
                </c:pt>
                <c:pt idx="189">
                  <c:v>61.570498999999998</c:v>
                </c:pt>
                <c:pt idx="190">
                  <c:v>63.142600999999999</c:v>
                </c:pt>
                <c:pt idx="191">
                  <c:v>67.880202999999995</c:v>
                </c:pt>
                <c:pt idx="192">
                  <c:v>70.274199999999993</c:v>
                </c:pt>
                <c:pt idx="193">
                  <c:v>71.876403999999994</c:v>
                </c:pt>
                <c:pt idx="194">
                  <c:v>71.084198000000001</c:v>
                </c:pt>
                <c:pt idx="195">
                  <c:v>70.665298000000007</c:v>
                </c:pt>
                <c:pt idx="196">
                  <c:v>69.900101000000006</c:v>
                </c:pt>
                <c:pt idx="197">
                  <c:v>67.430098999999998</c:v>
                </c:pt>
                <c:pt idx="198">
                  <c:v>64.212097</c:v>
                </c:pt>
                <c:pt idx="199">
                  <c:v>60.502898999999999</c:v>
                </c:pt>
                <c:pt idx="200">
                  <c:v>54.522598000000002</c:v>
                </c:pt>
                <c:pt idx="201">
                  <c:v>53.146247000000002</c:v>
                </c:pt>
                <c:pt idx="202">
                  <c:v>55.537858</c:v>
                </c:pt>
                <c:pt idx="203">
                  <c:v>58.624538999999999</c:v>
                </c:pt>
                <c:pt idx="204">
                  <c:v>66.162750000000003</c:v>
                </c:pt>
                <c:pt idx="205">
                  <c:v>65.514656000000002</c:v>
                </c:pt>
                <c:pt idx="206">
                  <c:v>64.246229</c:v>
                </c:pt>
                <c:pt idx="207">
                  <c:v>64.633600999999999</c:v>
                </c:pt>
                <c:pt idx="208">
                  <c:v>73.481680999999995</c:v>
                </c:pt>
                <c:pt idx="209">
                  <c:v>86.651814000000002</c:v>
                </c:pt>
                <c:pt idx="210">
                  <c:v>95.209541000000002</c:v>
                </c:pt>
                <c:pt idx="211">
                  <c:v>99.548222999999993</c:v>
                </c:pt>
                <c:pt idx="212">
                  <c:v>103.09819</c:v>
                </c:pt>
                <c:pt idx="213">
                  <c:v>104.59439</c:v>
                </c:pt>
                <c:pt idx="214">
                  <c:v>104.583</c:v>
                </c:pt>
                <c:pt idx="215">
                  <c:v>105.16372</c:v>
                </c:pt>
                <c:pt idx="216">
                  <c:v>107.18628</c:v>
                </c:pt>
                <c:pt idx="217">
                  <c:v>106.21991</c:v>
                </c:pt>
                <c:pt idx="218">
                  <c:v>107.48806999999999</c:v>
                </c:pt>
                <c:pt idx="219">
                  <c:v>108.79468</c:v>
                </c:pt>
                <c:pt idx="220">
                  <c:v>134.54021</c:v>
                </c:pt>
                <c:pt idx="221">
                  <c:v>128.12504000000001</c:v>
                </c:pt>
              </c:numCache>
            </c:numRef>
          </c:val>
          <c:smooth val="0"/>
          <c:extLst>
            <c:ext xmlns:c16="http://schemas.microsoft.com/office/drawing/2014/chart" uri="{C3380CC4-5D6E-409C-BE32-E72D297353CC}">
              <c16:uniqueId val="{00000001-D545-47BA-B058-767922E9BF1F}"/>
            </c:ext>
          </c:extLst>
        </c:ser>
        <c:dLbls>
          <c:showLegendKey val="0"/>
          <c:showVal val="0"/>
          <c:showCatName val="0"/>
          <c:showSerName val="0"/>
          <c:showPercent val="0"/>
          <c:showBubbleSize val="0"/>
        </c:dLbls>
        <c:marker val="1"/>
        <c:smooth val="0"/>
        <c:axId val="297289984"/>
        <c:axId val="297293312"/>
      </c:lineChart>
      <c:lineChart>
        <c:grouping val="standard"/>
        <c:varyColors val="0"/>
        <c:ser>
          <c:idx val="0"/>
          <c:order val="0"/>
          <c:tx>
            <c:strRef>
              <c:f>'Figure 2.4.1.'!$M$1</c:f>
              <c:strCache>
                <c:ptCount val="1"/>
                <c:pt idx="0">
                  <c:v>Revenue 
(right scale)</c:v>
                </c:pt>
              </c:strCache>
            </c:strRef>
          </c:tx>
          <c:spPr>
            <a:ln w="19050" cap="rnd">
              <a:solidFill>
                <a:schemeClr val="accent6">
                  <a:lumMod val="75000"/>
                </a:schemeClr>
              </a:solidFill>
              <a:prstDash val="lgDash"/>
              <a:round/>
            </a:ln>
            <a:effectLst/>
          </c:spPr>
          <c:marker>
            <c:symbol val="none"/>
          </c:marker>
          <c:cat>
            <c:numRef>
              <c:f>'Figure 2.4.1.'!$K$2:$K$223</c:f>
              <c:numCache>
                <c:formatCode>General</c:formatCode>
                <c:ptCount val="222"/>
                <c:pt idx="0">
                  <c:v>1800</c:v>
                </c:pt>
                <c:pt idx="1">
                  <c:v>1801</c:v>
                </c:pt>
                <c:pt idx="2">
                  <c:v>1802</c:v>
                </c:pt>
                <c:pt idx="3">
                  <c:v>1803</c:v>
                </c:pt>
                <c:pt idx="4">
                  <c:v>1804</c:v>
                </c:pt>
                <c:pt idx="5">
                  <c:v>1805</c:v>
                </c:pt>
                <c:pt idx="6">
                  <c:v>1806</c:v>
                </c:pt>
                <c:pt idx="7">
                  <c:v>1807</c:v>
                </c:pt>
                <c:pt idx="8">
                  <c:v>1808</c:v>
                </c:pt>
                <c:pt idx="9">
                  <c:v>1809</c:v>
                </c:pt>
                <c:pt idx="10">
                  <c:v>10</c:v>
                </c:pt>
                <c:pt idx="11">
                  <c:v>1811</c:v>
                </c:pt>
                <c:pt idx="12">
                  <c:v>1812</c:v>
                </c:pt>
                <c:pt idx="13">
                  <c:v>1813</c:v>
                </c:pt>
                <c:pt idx="14">
                  <c:v>1814</c:v>
                </c:pt>
                <c:pt idx="15">
                  <c:v>1815</c:v>
                </c:pt>
                <c:pt idx="16">
                  <c:v>1816</c:v>
                </c:pt>
                <c:pt idx="17">
                  <c:v>1817</c:v>
                </c:pt>
                <c:pt idx="18">
                  <c:v>1818</c:v>
                </c:pt>
                <c:pt idx="19">
                  <c:v>1819</c:v>
                </c:pt>
                <c:pt idx="20">
                  <c:v>20</c:v>
                </c:pt>
                <c:pt idx="21">
                  <c:v>1821</c:v>
                </c:pt>
                <c:pt idx="22">
                  <c:v>1822</c:v>
                </c:pt>
                <c:pt idx="23">
                  <c:v>1823</c:v>
                </c:pt>
                <c:pt idx="24">
                  <c:v>1824</c:v>
                </c:pt>
                <c:pt idx="25">
                  <c:v>1825</c:v>
                </c:pt>
                <c:pt idx="26">
                  <c:v>1826</c:v>
                </c:pt>
                <c:pt idx="27">
                  <c:v>1827</c:v>
                </c:pt>
                <c:pt idx="28">
                  <c:v>1828</c:v>
                </c:pt>
                <c:pt idx="29">
                  <c:v>1829</c:v>
                </c:pt>
                <c:pt idx="30">
                  <c:v>30</c:v>
                </c:pt>
                <c:pt idx="31">
                  <c:v>1831</c:v>
                </c:pt>
                <c:pt idx="32">
                  <c:v>1832</c:v>
                </c:pt>
                <c:pt idx="33">
                  <c:v>1833</c:v>
                </c:pt>
                <c:pt idx="34">
                  <c:v>1834</c:v>
                </c:pt>
                <c:pt idx="35">
                  <c:v>1835</c:v>
                </c:pt>
                <c:pt idx="36">
                  <c:v>1836</c:v>
                </c:pt>
                <c:pt idx="37">
                  <c:v>1837</c:v>
                </c:pt>
                <c:pt idx="38">
                  <c:v>1838</c:v>
                </c:pt>
                <c:pt idx="39">
                  <c:v>1839</c:v>
                </c:pt>
                <c:pt idx="40">
                  <c:v>40</c:v>
                </c:pt>
                <c:pt idx="41">
                  <c:v>1841</c:v>
                </c:pt>
                <c:pt idx="42">
                  <c:v>1842</c:v>
                </c:pt>
                <c:pt idx="43">
                  <c:v>1843</c:v>
                </c:pt>
                <c:pt idx="44">
                  <c:v>1844</c:v>
                </c:pt>
                <c:pt idx="45">
                  <c:v>1845</c:v>
                </c:pt>
                <c:pt idx="46">
                  <c:v>1846</c:v>
                </c:pt>
                <c:pt idx="47">
                  <c:v>1847</c:v>
                </c:pt>
                <c:pt idx="48">
                  <c:v>1848</c:v>
                </c:pt>
                <c:pt idx="49">
                  <c:v>1849</c:v>
                </c:pt>
                <c:pt idx="50">
                  <c:v>50</c:v>
                </c:pt>
                <c:pt idx="51">
                  <c:v>1851</c:v>
                </c:pt>
                <c:pt idx="52">
                  <c:v>1852</c:v>
                </c:pt>
                <c:pt idx="53">
                  <c:v>1853</c:v>
                </c:pt>
                <c:pt idx="54">
                  <c:v>1854</c:v>
                </c:pt>
                <c:pt idx="55">
                  <c:v>1855</c:v>
                </c:pt>
                <c:pt idx="56">
                  <c:v>1856</c:v>
                </c:pt>
                <c:pt idx="57">
                  <c:v>1857</c:v>
                </c:pt>
                <c:pt idx="58">
                  <c:v>1858</c:v>
                </c:pt>
                <c:pt idx="59">
                  <c:v>1859</c:v>
                </c:pt>
                <c:pt idx="60">
                  <c:v>60</c:v>
                </c:pt>
                <c:pt idx="61">
                  <c:v>1861</c:v>
                </c:pt>
                <c:pt idx="62">
                  <c:v>1862</c:v>
                </c:pt>
                <c:pt idx="63">
                  <c:v>1863</c:v>
                </c:pt>
                <c:pt idx="64">
                  <c:v>1864</c:v>
                </c:pt>
                <c:pt idx="65">
                  <c:v>1865</c:v>
                </c:pt>
                <c:pt idx="66">
                  <c:v>1866</c:v>
                </c:pt>
                <c:pt idx="67">
                  <c:v>1867</c:v>
                </c:pt>
                <c:pt idx="68">
                  <c:v>1868</c:v>
                </c:pt>
                <c:pt idx="69">
                  <c:v>1869</c:v>
                </c:pt>
                <c:pt idx="70">
                  <c:v>70</c:v>
                </c:pt>
                <c:pt idx="71">
                  <c:v>1871</c:v>
                </c:pt>
                <c:pt idx="72">
                  <c:v>1872</c:v>
                </c:pt>
                <c:pt idx="73">
                  <c:v>1873</c:v>
                </c:pt>
                <c:pt idx="74">
                  <c:v>1874</c:v>
                </c:pt>
                <c:pt idx="75">
                  <c:v>1875</c:v>
                </c:pt>
                <c:pt idx="76">
                  <c:v>1876</c:v>
                </c:pt>
                <c:pt idx="77">
                  <c:v>1877</c:v>
                </c:pt>
                <c:pt idx="78">
                  <c:v>1878</c:v>
                </c:pt>
                <c:pt idx="79">
                  <c:v>1879</c:v>
                </c:pt>
                <c:pt idx="80">
                  <c:v>80</c:v>
                </c:pt>
                <c:pt idx="81">
                  <c:v>1881</c:v>
                </c:pt>
                <c:pt idx="82">
                  <c:v>1882</c:v>
                </c:pt>
                <c:pt idx="83">
                  <c:v>1883</c:v>
                </c:pt>
                <c:pt idx="84">
                  <c:v>1884</c:v>
                </c:pt>
                <c:pt idx="85">
                  <c:v>1885</c:v>
                </c:pt>
                <c:pt idx="86">
                  <c:v>1886</c:v>
                </c:pt>
                <c:pt idx="87">
                  <c:v>1887</c:v>
                </c:pt>
                <c:pt idx="88">
                  <c:v>1888</c:v>
                </c:pt>
                <c:pt idx="89">
                  <c:v>1889</c:v>
                </c:pt>
                <c:pt idx="90">
                  <c:v>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10</c:v>
                </c:pt>
                <c:pt idx="111">
                  <c:v>1911</c:v>
                </c:pt>
                <c:pt idx="112">
                  <c:v>1912</c:v>
                </c:pt>
                <c:pt idx="113">
                  <c:v>1913</c:v>
                </c:pt>
                <c:pt idx="114">
                  <c:v>1914</c:v>
                </c:pt>
                <c:pt idx="115">
                  <c:v>1915</c:v>
                </c:pt>
                <c:pt idx="116">
                  <c:v>1916</c:v>
                </c:pt>
                <c:pt idx="117">
                  <c:v>1917</c:v>
                </c:pt>
                <c:pt idx="118">
                  <c:v>1918</c:v>
                </c:pt>
                <c:pt idx="119">
                  <c:v>1919</c:v>
                </c:pt>
                <c:pt idx="120">
                  <c:v>20</c:v>
                </c:pt>
                <c:pt idx="121">
                  <c:v>1921</c:v>
                </c:pt>
                <c:pt idx="122">
                  <c:v>1922</c:v>
                </c:pt>
                <c:pt idx="123">
                  <c:v>1923</c:v>
                </c:pt>
                <c:pt idx="124">
                  <c:v>1924</c:v>
                </c:pt>
                <c:pt idx="125">
                  <c:v>1925</c:v>
                </c:pt>
                <c:pt idx="126">
                  <c:v>1926</c:v>
                </c:pt>
                <c:pt idx="127">
                  <c:v>1927</c:v>
                </c:pt>
                <c:pt idx="128">
                  <c:v>1928</c:v>
                </c:pt>
                <c:pt idx="129">
                  <c:v>1929</c:v>
                </c:pt>
                <c:pt idx="130">
                  <c:v>30</c:v>
                </c:pt>
                <c:pt idx="131">
                  <c:v>1931</c:v>
                </c:pt>
                <c:pt idx="132">
                  <c:v>1932</c:v>
                </c:pt>
                <c:pt idx="133">
                  <c:v>1933</c:v>
                </c:pt>
                <c:pt idx="134">
                  <c:v>1934</c:v>
                </c:pt>
                <c:pt idx="135">
                  <c:v>1935</c:v>
                </c:pt>
                <c:pt idx="136">
                  <c:v>1936</c:v>
                </c:pt>
                <c:pt idx="137">
                  <c:v>1937</c:v>
                </c:pt>
                <c:pt idx="138">
                  <c:v>1938</c:v>
                </c:pt>
                <c:pt idx="139">
                  <c:v>1939</c:v>
                </c:pt>
                <c:pt idx="140">
                  <c:v>40</c:v>
                </c:pt>
                <c:pt idx="141">
                  <c:v>1941</c:v>
                </c:pt>
                <c:pt idx="142">
                  <c:v>1942</c:v>
                </c:pt>
                <c:pt idx="143">
                  <c:v>1943</c:v>
                </c:pt>
                <c:pt idx="144">
                  <c:v>1944</c:v>
                </c:pt>
                <c:pt idx="145">
                  <c:v>1945</c:v>
                </c:pt>
                <c:pt idx="146">
                  <c:v>1946</c:v>
                </c:pt>
                <c:pt idx="147">
                  <c:v>1947</c:v>
                </c:pt>
                <c:pt idx="148">
                  <c:v>1948</c:v>
                </c:pt>
                <c:pt idx="149">
                  <c:v>1949</c:v>
                </c:pt>
                <c:pt idx="150">
                  <c:v>50</c:v>
                </c:pt>
                <c:pt idx="151">
                  <c:v>1951</c:v>
                </c:pt>
                <c:pt idx="152">
                  <c:v>1952</c:v>
                </c:pt>
                <c:pt idx="153">
                  <c:v>1953</c:v>
                </c:pt>
                <c:pt idx="154">
                  <c:v>1954</c:v>
                </c:pt>
                <c:pt idx="155">
                  <c:v>1955</c:v>
                </c:pt>
                <c:pt idx="156">
                  <c:v>1956</c:v>
                </c:pt>
                <c:pt idx="157">
                  <c:v>1957</c:v>
                </c:pt>
                <c:pt idx="158">
                  <c:v>1958</c:v>
                </c:pt>
                <c:pt idx="159">
                  <c:v>1959</c:v>
                </c:pt>
                <c:pt idx="160">
                  <c:v>60</c:v>
                </c:pt>
                <c:pt idx="161">
                  <c:v>1961</c:v>
                </c:pt>
                <c:pt idx="162">
                  <c:v>1962</c:v>
                </c:pt>
                <c:pt idx="163">
                  <c:v>1963</c:v>
                </c:pt>
                <c:pt idx="164">
                  <c:v>1964</c:v>
                </c:pt>
                <c:pt idx="165">
                  <c:v>1965</c:v>
                </c:pt>
                <c:pt idx="166">
                  <c:v>1966</c:v>
                </c:pt>
                <c:pt idx="167">
                  <c:v>1967</c:v>
                </c:pt>
                <c:pt idx="168">
                  <c:v>1968</c:v>
                </c:pt>
                <c:pt idx="169">
                  <c:v>1969</c:v>
                </c:pt>
                <c:pt idx="170">
                  <c:v>70</c:v>
                </c:pt>
                <c:pt idx="171">
                  <c:v>1971</c:v>
                </c:pt>
                <c:pt idx="172">
                  <c:v>1972</c:v>
                </c:pt>
                <c:pt idx="173">
                  <c:v>1973</c:v>
                </c:pt>
                <c:pt idx="174">
                  <c:v>1974</c:v>
                </c:pt>
                <c:pt idx="175">
                  <c:v>1975</c:v>
                </c:pt>
                <c:pt idx="176">
                  <c:v>1976</c:v>
                </c:pt>
                <c:pt idx="177">
                  <c:v>1977</c:v>
                </c:pt>
                <c:pt idx="178">
                  <c:v>1978</c:v>
                </c:pt>
                <c:pt idx="179">
                  <c:v>1979</c:v>
                </c:pt>
                <c:pt idx="180">
                  <c:v>80</c:v>
                </c:pt>
                <c:pt idx="181">
                  <c:v>1981</c:v>
                </c:pt>
                <c:pt idx="182">
                  <c:v>1982</c:v>
                </c:pt>
                <c:pt idx="183">
                  <c:v>1983</c:v>
                </c:pt>
                <c:pt idx="184">
                  <c:v>1984</c:v>
                </c:pt>
                <c:pt idx="185">
                  <c:v>1985</c:v>
                </c:pt>
                <c:pt idx="186">
                  <c:v>1986</c:v>
                </c:pt>
                <c:pt idx="187">
                  <c:v>1987</c:v>
                </c:pt>
                <c:pt idx="188">
                  <c:v>1988</c:v>
                </c:pt>
                <c:pt idx="189">
                  <c:v>1989</c:v>
                </c:pt>
                <c:pt idx="190">
                  <c:v>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10</c:v>
                </c:pt>
                <c:pt idx="211">
                  <c:v>2011</c:v>
                </c:pt>
                <c:pt idx="212">
                  <c:v>2012</c:v>
                </c:pt>
                <c:pt idx="213">
                  <c:v>2013</c:v>
                </c:pt>
                <c:pt idx="214">
                  <c:v>2014</c:v>
                </c:pt>
                <c:pt idx="215">
                  <c:v>2015</c:v>
                </c:pt>
                <c:pt idx="216">
                  <c:v>2016</c:v>
                </c:pt>
                <c:pt idx="217">
                  <c:v>2017</c:v>
                </c:pt>
                <c:pt idx="218">
                  <c:v>2018</c:v>
                </c:pt>
                <c:pt idx="219">
                  <c:v>2019</c:v>
                </c:pt>
                <c:pt idx="220">
                  <c:v>20</c:v>
                </c:pt>
                <c:pt idx="221">
                  <c:v>2021</c:v>
                </c:pt>
              </c:numCache>
            </c:numRef>
          </c:cat>
          <c:val>
            <c:numRef>
              <c:f>'Figure 2.4.1.'!$M$2:$M$223</c:f>
              <c:numCache>
                <c:formatCode>0</c:formatCode>
                <c:ptCount val="222"/>
                <c:pt idx="0">
                  <c:v>2.3636200000000001</c:v>
                </c:pt>
                <c:pt idx="1">
                  <c:v>2.4498099999999998</c:v>
                </c:pt>
                <c:pt idx="2">
                  <c:v>3.0604100000000001</c:v>
                </c:pt>
                <c:pt idx="3">
                  <c:v>2.2672099999999999</c:v>
                </c:pt>
                <c:pt idx="4">
                  <c:v>2.2146100999999998</c:v>
                </c:pt>
                <c:pt idx="5">
                  <c:v>2.2907099999999998</c:v>
                </c:pt>
                <c:pt idx="6">
                  <c:v>2.5550101000000001</c:v>
                </c:pt>
                <c:pt idx="7">
                  <c:v>2.9074499999999999</c:v>
                </c:pt>
                <c:pt idx="8">
                  <c:v>3.7008700000000001</c:v>
                </c:pt>
                <c:pt idx="9">
                  <c:v>1.5484100999999999</c:v>
                </c:pt>
                <c:pt idx="10">
                  <c:v>1.59592</c:v>
                </c:pt>
                <c:pt idx="11">
                  <c:v>2.4869001000000002</c:v>
                </c:pt>
                <c:pt idx="12">
                  <c:v>1.7224999999999999</c:v>
                </c:pt>
                <c:pt idx="13">
                  <c:v>2.3017699999999999</c:v>
                </c:pt>
                <c:pt idx="14">
                  <c:v>1.5951500000000001</c:v>
                </c:pt>
                <c:pt idx="15">
                  <c:v>1.9370700000000001</c:v>
                </c:pt>
                <c:pt idx="16">
                  <c:v>5.5829000000000004</c:v>
                </c:pt>
                <c:pt idx="17">
                  <c:v>3.9077899</c:v>
                </c:pt>
                <c:pt idx="18">
                  <c:v>2.6452200000000001</c:v>
                </c:pt>
                <c:pt idx="19">
                  <c:v>3.2629999999999999</c:v>
                </c:pt>
                <c:pt idx="20">
                  <c:v>2.7257600000000002</c:v>
                </c:pt>
                <c:pt idx="21">
                  <c:v>2.40082</c:v>
                </c:pt>
                <c:pt idx="22">
                  <c:v>2.8738598999999998</c:v>
                </c:pt>
                <c:pt idx="23">
                  <c:v>2.9386301000000001</c:v>
                </c:pt>
                <c:pt idx="24">
                  <c:v>2.5806898999999999</c:v>
                </c:pt>
                <c:pt idx="25">
                  <c:v>2.5695299999999999</c:v>
                </c:pt>
                <c:pt idx="26">
                  <c:v>2.8574700000000002</c:v>
                </c:pt>
                <c:pt idx="27">
                  <c:v>2.6458499</c:v>
                </c:pt>
                <c:pt idx="28">
                  <c:v>2.8109000000000002</c:v>
                </c:pt>
                <c:pt idx="29">
                  <c:v>2.7434199000000001</c:v>
                </c:pt>
                <c:pt idx="30">
                  <c:v>2.6628101000000002</c:v>
                </c:pt>
                <c:pt idx="31">
                  <c:v>2.6586200999999998</c:v>
                </c:pt>
                <c:pt idx="32">
                  <c:v>2.7589600000000001</c:v>
                </c:pt>
                <c:pt idx="33">
                  <c:v>2.6154101000000001</c:v>
                </c:pt>
                <c:pt idx="34">
                  <c:v>1.6348100000000001</c:v>
                </c:pt>
                <c:pt idx="35">
                  <c:v>2.1696301</c:v>
                </c:pt>
                <c:pt idx="36">
                  <c:v>2.6807498999999999</c:v>
                </c:pt>
                <c:pt idx="37">
                  <c:v>1.36361</c:v>
                </c:pt>
                <c:pt idx="38">
                  <c:v>1.4961899999999999</c:v>
                </c:pt>
                <c:pt idx="39">
                  <c:v>1.6295500000000001</c:v>
                </c:pt>
                <c:pt idx="40">
                  <c:v>1.1260098999999999</c:v>
                </c:pt>
                <c:pt idx="41">
                  <c:v>0.96674298999999997</c:v>
                </c:pt>
                <c:pt idx="42">
                  <c:v>1.19617</c:v>
                </c:pt>
                <c:pt idx="43">
                  <c:v>0.50751798999999997</c:v>
                </c:pt>
                <c:pt idx="44">
                  <c:v>1.6163700000000001</c:v>
                </c:pt>
                <c:pt idx="45">
                  <c:v>1.5322100000000001</c:v>
                </c:pt>
                <c:pt idx="46">
                  <c:v>1.4403501000000001</c:v>
                </c:pt>
                <c:pt idx="47">
                  <c:v>1.13473</c:v>
                </c:pt>
                <c:pt idx="48">
                  <c:v>1.5059400000000001</c:v>
                </c:pt>
                <c:pt idx="49">
                  <c:v>1.3313999999999999</c:v>
                </c:pt>
                <c:pt idx="50">
                  <c:v>1.71868</c:v>
                </c:pt>
                <c:pt idx="51">
                  <c:v>1.9394499999999999</c:v>
                </c:pt>
                <c:pt idx="52">
                  <c:v>1.67892</c:v>
                </c:pt>
                <c:pt idx="53">
                  <c:v>1.7950200000000001</c:v>
                </c:pt>
                <c:pt idx="54">
                  <c:v>1.90157</c:v>
                </c:pt>
                <c:pt idx="55">
                  <c:v>1.6152</c:v>
                </c:pt>
                <c:pt idx="56">
                  <c:v>1.76494</c:v>
                </c:pt>
                <c:pt idx="57">
                  <c:v>1.59789</c:v>
                </c:pt>
                <c:pt idx="58">
                  <c:v>1.1468799999999999</c:v>
                </c:pt>
                <c:pt idx="59">
                  <c:v>1.24763</c:v>
                </c:pt>
                <c:pt idx="60">
                  <c:v>1.2500599999999999</c:v>
                </c:pt>
                <c:pt idx="61">
                  <c:v>0.88867496999999995</c:v>
                </c:pt>
                <c:pt idx="62">
                  <c:v>0.94350301999999997</c:v>
                </c:pt>
                <c:pt idx="63">
                  <c:v>1.5351699999999999</c:v>
                </c:pt>
                <c:pt idx="64">
                  <c:v>2.7773599999999998</c:v>
                </c:pt>
                <c:pt idx="65">
                  <c:v>3.5456300000000001</c:v>
                </c:pt>
                <c:pt idx="66">
                  <c:v>6.0967202</c:v>
                </c:pt>
                <c:pt idx="67">
                  <c:v>5.5345101000000003</c:v>
                </c:pt>
                <c:pt idx="68">
                  <c:v>4.6732502</c:v>
                </c:pt>
                <c:pt idx="69">
                  <c:v>4.3178200999999996</c:v>
                </c:pt>
                <c:pt idx="70">
                  <c:v>5.0442200000000001</c:v>
                </c:pt>
                <c:pt idx="71">
                  <c:v>4.7766199</c:v>
                </c:pt>
                <c:pt idx="72">
                  <c:v>3.9977200000000002</c:v>
                </c:pt>
                <c:pt idx="73">
                  <c:v>3.5885799</c:v>
                </c:pt>
                <c:pt idx="74">
                  <c:v>3.5278100999999999</c:v>
                </c:pt>
                <c:pt idx="75">
                  <c:v>3.4014399000000002</c:v>
                </c:pt>
                <c:pt idx="76">
                  <c:v>3.3874198999999998</c:v>
                </c:pt>
                <c:pt idx="77">
                  <c:v>3.0634201000000001</c:v>
                </c:pt>
                <c:pt idx="78">
                  <c:v>2.8428800000000001</c:v>
                </c:pt>
                <c:pt idx="79">
                  <c:v>2.8279098999999999</c:v>
                </c:pt>
                <c:pt idx="80">
                  <c:v>2.7928901000000002</c:v>
                </c:pt>
                <c:pt idx="81">
                  <c:v>3.0476600999999999</c:v>
                </c:pt>
                <c:pt idx="82">
                  <c:v>3.00108</c:v>
                </c:pt>
                <c:pt idx="83">
                  <c:v>3.1847799000000001</c:v>
                </c:pt>
                <c:pt idx="84">
                  <c:v>2.8506501000000002</c:v>
                </c:pt>
                <c:pt idx="85">
                  <c:v>2.65625</c:v>
                </c:pt>
                <c:pt idx="86">
                  <c:v>2.5066299000000001</c:v>
                </c:pt>
                <c:pt idx="87">
                  <c:v>2.6839398999999999</c:v>
                </c:pt>
                <c:pt idx="88">
                  <c:v>2.7766700000000002</c:v>
                </c:pt>
                <c:pt idx="89">
                  <c:v>2.66032</c:v>
                </c:pt>
                <c:pt idx="90">
                  <c:v>2.77738</c:v>
                </c:pt>
                <c:pt idx="91">
                  <c:v>2.5232100000000002</c:v>
                </c:pt>
                <c:pt idx="92">
                  <c:v>2.2646500999999999</c:v>
                </c:pt>
                <c:pt idx="93">
                  <c:v>2.5377901</c:v>
                </c:pt>
                <c:pt idx="94">
                  <c:v>2.2488101</c:v>
                </c:pt>
                <c:pt idx="95">
                  <c:v>2.0982699</c:v>
                </c:pt>
                <c:pt idx="96">
                  <c:v>2.2109399000000001</c:v>
                </c:pt>
                <c:pt idx="97">
                  <c:v>2.18363</c:v>
                </c:pt>
                <c:pt idx="98">
                  <c:v>2.4446398999999999</c:v>
                </c:pt>
                <c:pt idx="99">
                  <c:v>2.7870200000000001</c:v>
                </c:pt>
                <c:pt idx="100">
                  <c:v>2.9405999</c:v>
                </c:pt>
                <c:pt idx="101">
                  <c:v>2.7167398999999999</c:v>
                </c:pt>
                <c:pt idx="102">
                  <c:v>2.5341401000000001</c:v>
                </c:pt>
                <c:pt idx="103">
                  <c:v>2.3158900999999998</c:v>
                </c:pt>
                <c:pt idx="104">
                  <c:v>2.3266499</c:v>
                </c:pt>
                <c:pt idx="105">
                  <c:v>2.1245799000000001</c:v>
                </c:pt>
                <c:pt idx="106">
                  <c:v>1.9745299999999999</c:v>
                </c:pt>
                <c:pt idx="107">
                  <c:v>2.1570499000000001</c:v>
                </c:pt>
                <c:pt idx="108">
                  <c:v>2.2942100000000001</c:v>
                </c:pt>
                <c:pt idx="109">
                  <c:v>1.9723200000000001</c:v>
                </c:pt>
                <c:pt idx="110">
                  <c:v>2.1370900000000002</c:v>
                </c:pt>
                <c:pt idx="111">
                  <c:v>2.15306</c:v>
                </c:pt>
                <c:pt idx="112">
                  <c:v>1.97939</c:v>
                </c:pt>
                <c:pt idx="113">
                  <c:v>1.9459200000000001</c:v>
                </c:pt>
                <c:pt idx="114">
                  <c:v>2.1155900999999999</c:v>
                </c:pt>
                <c:pt idx="115">
                  <c:v>1.89727</c:v>
                </c:pt>
                <c:pt idx="116">
                  <c:v>1.7036901</c:v>
                </c:pt>
                <c:pt idx="117">
                  <c:v>2.1142699999999999</c:v>
                </c:pt>
                <c:pt idx="118">
                  <c:v>5.4553098999999996</c:v>
                </c:pt>
                <c:pt idx="119">
                  <c:v>6.6997198999999998</c:v>
                </c:pt>
                <c:pt idx="120">
                  <c:v>7.6369699999999998</c:v>
                </c:pt>
                <c:pt idx="121">
                  <c:v>7.5342001999999999</c:v>
                </c:pt>
                <c:pt idx="122">
                  <c:v>5.5286397999999997</c:v>
                </c:pt>
                <c:pt idx="123">
                  <c:v>4.5376101000000002</c:v>
                </c:pt>
                <c:pt idx="124">
                  <c:v>4.4484900999999999</c:v>
                </c:pt>
                <c:pt idx="125">
                  <c:v>3.9855999999999998</c:v>
                </c:pt>
                <c:pt idx="126">
                  <c:v>3.8941800999999998</c:v>
                </c:pt>
                <c:pt idx="127">
                  <c:v>4.1453600000000002</c:v>
                </c:pt>
                <c:pt idx="128">
                  <c:v>4.0290599</c:v>
                </c:pt>
                <c:pt idx="129">
                  <c:v>3.7238099999999998</c:v>
                </c:pt>
                <c:pt idx="130">
                  <c:v>4.4445601000000003</c:v>
                </c:pt>
                <c:pt idx="131">
                  <c:v>4.0673098999999997</c:v>
                </c:pt>
                <c:pt idx="132">
                  <c:v>3.2719200000000002</c:v>
                </c:pt>
                <c:pt idx="133">
                  <c:v>3.5404998999999999</c:v>
                </c:pt>
                <c:pt idx="134">
                  <c:v>4.5681399999999996</c:v>
                </c:pt>
                <c:pt idx="135">
                  <c:v>5.0558700999999999</c:v>
                </c:pt>
                <c:pt idx="136">
                  <c:v>4.7754598000000001</c:v>
                </c:pt>
                <c:pt idx="137">
                  <c:v>5.3923997999999997</c:v>
                </c:pt>
                <c:pt idx="138">
                  <c:v>6.4901400000000002</c:v>
                </c:pt>
                <c:pt idx="139">
                  <c:v>5.4120302000000002</c:v>
                </c:pt>
                <c:pt idx="140">
                  <c:v>6.7840198999999997</c:v>
                </c:pt>
                <c:pt idx="141">
                  <c:v>7.2628297999999996</c:v>
                </c:pt>
                <c:pt idx="142">
                  <c:v>9.3292198000000006</c:v>
                </c:pt>
                <c:pt idx="143">
                  <c:v>12.637</c:v>
                </c:pt>
                <c:pt idx="144">
                  <c:v>21.755199000000001</c:v>
                </c:pt>
                <c:pt idx="145">
                  <c:v>22.484100000000002</c:v>
                </c:pt>
                <c:pt idx="146">
                  <c:v>19.581600000000002</c:v>
                </c:pt>
                <c:pt idx="147">
                  <c:v>17.826000000000001</c:v>
                </c:pt>
                <c:pt idx="148">
                  <c:v>16.848801000000002</c:v>
                </c:pt>
                <c:pt idx="149">
                  <c:v>15.5541</c:v>
                </c:pt>
                <c:pt idx="150">
                  <c:v>13.934699999999999</c:v>
                </c:pt>
                <c:pt idx="151">
                  <c:v>15.735300000000001</c:v>
                </c:pt>
                <c:pt idx="152">
                  <c:v>18.9816</c:v>
                </c:pt>
                <c:pt idx="153">
                  <c:v>18.844200000000001</c:v>
                </c:pt>
                <c:pt idx="154">
                  <c:v>18.830200000000001</c:v>
                </c:pt>
                <c:pt idx="155">
                  <c:v>15.783300000000001</c:v>
                </c:pt>
                <c:pt idx="156">
                  <c:v>17.039300999999998</c:v>
                </c:pt>
                <c:pt idx="157">
                  <c:v>17.3477</c:v>
                </c:pt>
                <c:pt idx="158">
                  <c:v>17.045400999999998</c:v>
                </c:pt>
                <c:pt idx="159">
                  <c:v>15.6433</c:v>
                </c:pt>
                <c:pt idx="160">
                  <c:v>28.098499</c:v>
                </c:pt>
                <c:pt idx="161">
                  <c:v>28.130800000000001</c:v>
                </c:pt>
                <c:pt idx="162">
                  <c:v>28.332198999999999</c:v>
                </c:pt>
                <c:pt idx="163">
                  <c:v>28.8766</c:v>
                </c:pt>
                <c:pt idx="164">
                  <c:v>27.752300000000002</c:v>
                </c:pt>
                <c:pt idx="165">
                  <c:v>27.727301000000001</c:v>
                </c:pt>
                <c:pt idx="166">
                  <c:v>28.364000000000001</c:v>
                </c:pt>
                <c:pt idx="167">
                  <c:v>28.785900000000002</c:v>
                </c:pt>
                <c:pt idx="168">
                  <c:v>30.300599999999999</c:v>
                </c:pt>
                <c:pt idx="169">
                  <c:v>31.427900000000001</c:v>
                </c:pt>
                <c:pt idx="170">
                  <c:v>30.240299</c:v>
                </c:pt>
                <c:pt idx="171">
                  <c:v>29.702299</c:v>
                </c:pt>
                <c:pt idx="172">
                  <c:v>30.903099000000001</c:v>
                </c:pt>
                <c:pt idx="173">
                  <c:v>31.059298999999999</c:v>
                </c:pt>
                <c:pt idx="174">
                  <c:v>31.653299000000001</c:v>
                </c:pt>
                <c:pt idx="175">
                  <c:v>29.828899</c:v>
                </c:pt>
                <c:pt idx="176">
                  <c:v>30.533100000000001</c:v>
                </c:pt>
                <c:pt idx="177">
                  <c:v>30.814599999999999</c:v>
                </c:pt>
                <c:pt idx="178">
                  <c:v>30.9025</c:v>
                </c:pt>
                <c:pt idx="179">
                  <c:v>31.251498999999999</c:v>
                </c:pt>
                <c:pt idx="180">
                  <c:v>31.574698999999999</c:v>
                </c:pt>
                <c:pt idx="181">
                  <c:v>32.304099999999998</c:v>
                </c:pt>
                <c:pt idx="182">
                  <c:v>32.025599999999997</c:v>
                </c:pt>
                <c:pt idx="183">
                  <c:v>31.389700000000001</c:v>
                </c:pt>
                <c:pt idx="184">
                  <c:v>31.3081</c:v>
                </c:pt>
                <c:pt idx="185">
                  <c:v>31.818199</c:v>
                </c:pt>
                <c:pt idx="186">
                  <c:v>32.023701000000003</c:v>
                </c:pt>
                <c:pt idx="187">
                  <c:v>32.765202000000002</c:v>
                </c:pt>
                <c:pt idx="188">
                  <c:v>32.624198999999997</c:v>
                </c:pt>
                <c:pt idx="189">
                  <c:v>32.921500999999999</c:v>
                </c:pt>
                <c:pt idx="190">
                  <c:v>32.855701000000003</c:v>
                </c:pt>
                <c:pt idx="191">
                  <c:v>32.943401000000001</c:v>
                </c:pt>
                <c:pt idx="192">
                  <c:v>32.762999999999998</c:v>
                </c:pt>
                <c:pt idx="193">
                  <c:v>33.023398999999998</c:v>
                </c:pt>
                <c:pt idx="194">
                  <c:v>33.407600000000002</c:v>
                </c:pt>
                <c:pt idx="195">
                  <c:v>33.782600000000002</c:v>
                </c:pt>
                <c:pt idx="196">
                  <c:v>34.260502000000002</c:v>
                </c:pt>
                <c:pt idx="197">
                  <c:v>34.553299000000003</c:v>
                </c:pt>
                <c:pt idx="198">
                  <c:v>34.929001</c:v>
                </c:pt>
                <c:pt idx="199">
                  <c:v>34.884799999999998</c:v>
                </c:pt>
                <c:pt idx="200">
                  <c:v>35.353298000000002</c:v>
                </c:pt>
                <c:pt idx="201">
                  <c:v>32.257173999999999</c:v>
                </c:pt>
                <c:pt idx="202">
                  <c:v>29.877016000000001</c:v>
                </c:pt>
                <c:pt idx="203">
                  <c:v>29.266456999999999</c:v>
                </c:pt>
                <c:pt idx="204">
                  <c:v>29.475504999999998</c:v>
                </c:pt>
                <c:pt idx="205">
                  <c:v>30.852920000000001</c:v>
                </c:pt>
                <c:pt idx="206">
                  <c:v>31.655650000000001</c:v>
                </c:pt>
                <c:pt idx="207">
                  <c:v>31.648707000000002</c:v>
                </c:pt>
                <c:pt idx="208">
                  <c:v>30.531603</c:v>
                </c:pt>
                <c:pt idx="209">
                  <c:v>28.221831999999999</c:v>
                </c:pt>
                <c:pt idx="210">
                  <c:v>28.770098999999998</c:v>
                </c:pt>
                <c:pt idx="211">
                  <c:v>29.080410000000001</c:v>
                </c:pt>
                <c:pt idx="212">
                  <c:v>29.108961000000001</c:v>
                </c:pt>
                <c:pt idx="213">
                  <c:v>31.291466</c:v>
                </c:pt>
                <c:pt idx="214">
                  <c:v>31.379534</c:v>
                </c:pt>
                <c:pt idx="215">
                  <c:v>31.660084999999999</c:v>
                </c:pt>
                <c:pt idx="216">
                  <c:v>31.179357</c:v>
                </c:pt>
                <c:pt idx="217">
                  <c:v>30.804607000000001</c:v>
                </c:pt>
                <c:pt idx="218">
                  <c:v>30.142742999999999</c:v>
                </c:pt>
                <c:pt idx="219">
                  <c:v>30.269822000000001</c:v>
                </c:pt>
                <c:pt idx="220">
                  <c:v>30.804202</c:v>
                </c:pt>
                <c:pt idx="221">
                  <c:v>31.457877</c:v>
                </c:pt>
              </c:numCache>
            </c:numRef>
          </c:val>
          <c:smooth val="0"/>
          <c:extLst>
            <c:ext xmlns:c16="http://schemas.microsoft.com/office/drawing/2014/chart" uri="{C3380CC4-5D6E-409C-BE32-E72D297353CC}">
              <c16:uniqueId val="{00000002-D545-47BA-B058-767922E9BF1F}"/>
            </c:ext>
          </c:extLst>
        </c:ser>
        <c:ser>
          <c:idx val="1"/>
          <c:order val="1"/>
          <c:tx>
            <c:strRef>
              <c:f>'Figure 2.4.1.'!$P$1</c:f>
              <c:strCache>
                <c:ptCount val="1"/>
                <c:pt idx="0">
                  <c:v>Primary expenditure 
(right scale)</c:v>
                </c:pt>
              </c:strCache>
            </c:strRef>
          </c:tx>
          <c:spPr>
            <a:ln w="19050" cap="rnd">
              <a:solidFill>
                <a:schemeClr val="accent2"/>
              </a:solidFill>
              <a:prstDash val="sysDash"/>
              <a:round/>
            </a:ln>
            <a:effectLst/>
          </c:spPr>
          <c:marker>
            <c:symbol val="none"/>
          </c:marker>
          <c:cat>
            <c:numRef>
              <c:f>'Figure 2.4.1.'!$K$2:$K$223</c:f>
              <c:numCache>
                <c:formatCode>General</c:formatCode>
                <c:ptCount val="222"/>
                <c:pt idx="0">
                  <c:v>1800</c:v>
                </c:pt>
                <c:pt idx="1">
                  <c:v>1801</c:v>
                </c:pt>
                <c:pt idx="2">
                  <c:v>1802</c:v>
                </c:pt>
                <c:pt idx="3">
                  <c:v>1803</c:v>
                </c:pt>
                <c:pt idx="4">
                  <c:v>1804</c:v>
                </c:pt>
                <c:pt idx="5">
                  <c:v>1805</c:v>
                </c:pt>
                <c:pt idx="6">
                  <c:v>1806</c:v>
                </c:pt>
                <c:pt idx="7">
                  <c:v>1807</c:v>
                </c:pt>
                <c:pt idx="8">
                  <c:v>1808</c:v>
                </c:pt>
                <c:pt idx="9">
                  <c:v>1809</c:v>
                </c:pt>
                <c:pt idx="10">
                  <c:v>10</c:v>
                </c:pt>
                <c:pt idx="11">
                  <c:v>1811</c:v>
                </c:pt>
                <c:pt idx="12">
                  <c:v>1812</c:v>
                </c:pt>
                <c:pt idx="13">
                  <c:v>1813</c:v>
                </c:pt>
                <c:pt idx="14">
                  <c:v>1814</c:v>
                </c:pt>
                <c:pt idx="15">
                  <c:v>1815</c:v>
                </c:pt>
                <c:pt idx="16">
                  <c:v>1816</c:v>
                </c:pt>
                <c:pt idx="17">
                  <c:v>1817</c:v>
                </c:pt>
                <c:pt idx="18">
                  <c:v>1818</c:v>
                </c:pt>
                <c:pt idx="19">
                  <c:v>1819</c:v>
                </c:pt>
                <c:pt idx="20">
                  <c:v>20</c:v>
                </c:pt>
                <c:pt idx="21">
                  <c:v>1821</c:v>
                </c:pt>
                <c:pt idx="22">
                  <c:v>1822</c:v>
                </c:pt>
                <c:pt idx="23">
                  <c:v>1823</c:v>
                </c:pt>
                <c:pt idx="24">
                  <c:v>1824</c:v>
                </c:pt>
                <c:pt idx="25">
                  <c:v>1825</c:v>
                </c:pt>
                <c:pt idx="26">
                  <c:v>1826</c:v>
                </c:pt>
                <c:pt idx="27">
                  <c:v>1827</c:v>
                </c:pt>
                <c:pt idx="28">
                  <c:v>1828</c:v>
                </c:pt>
                <c:pt idx="29">
                  <c:v>1829</c:v>
                </c:pt>
                <c:pt idx="30">
                  <c:v>30</c:v>
                </c:pt>
                <c:pt idx="31">
                  <c:v>1831</c:v>
                </c:pt>
                <c:pt idx="32">
                  <c:v>1832</c:v>
                </c:pt>
                <c:pt idx="33">
                  <c:v>1833</c:v>
                </c:pt>
                <c:pt idx="34">
                  <c:v>1834</c:v>
                </c:pt>
                <c:pt idx="35">
                  <c:v>1835</c:v>
                </c:pt>
                <c:pt idx="36">
                  <c:v>1836</c:v>
                </c:pt>
                <c:pt idx="37">
                  <c:v>1837</c:v>
                </c:pt>
                <c:pt idx="38">
                  <c:v>1838</c:v>
                </c:pt>
                <c:pt idx="39">
                  <c:v>1839</c:v>
                </c:pt>
                <c:pt idx="40">
                  <c:v>40</c:v>
                </c:pt>
                <c:pt idx="41">
                  <c:v>1841</c:v>
                </c:pt>
                <c:pt idx="42">
                  <c:v>1842</c:v>
                </c:pt>
                <c:pt idx="43">
                  <c:v>1843</c:v>
                </c:pt>
                <c:pt idx="44">
                  <c:v>1844</c:v>
                </c:pt>
                <c:pt idx="45">
                  <c:v>1845</c:v>
                </c:pt>
                <c:pt idx="46">
                  <c:v>1846</c:v>
                </c:pt>
                <c:pt idx="47">
                  <c:v>1847</c:v>
                </c:pt>
                <c:pt idx="48">
                  <c:v>1848</c:v>
                </c:pt>
                <c:pt idx="49">
                  <c:v>1849</c:v>
                </c:pt>
                <c:pt idx="50">
                  <c:v>50</c:v>
                </c:pt>
                <c:pt idx="51">
                  <c:v>1851</c:v>
                </c:pt>
                <c:pt idx="52">
                  <c:v>1852</c:v>
                </c:pt>
                <c:pt idx="53">
                  <c:v>1853</c:v>
                </c:pt>
                <c:pt idx="54">
                  <c:v>1854</c:v>
                </c:pt>
                <c:pt idx="55">
                  <c:v>1855</c:v>
                </c:pt>
                <c:pt idx="56">
                  <c:v>1856</c:v>
                </c:pt>
                <c:pt idx="57">
                  <c:v>1857</c:v>
                </c:pt>
                <c:pt idx="58">
                  <c:v>1858</c:v>
                </c:pt>
                <c:pt idx="59">
                  <c:v>1859</c:v>
                </c:pt>
                <c:pt idx="60">
                  <c:v>60</c:v>
                </c:pt>
                <c:pt idx="61">
                  <c:v>1861</c:v>
                </c:pt>
                <c:pt idx="62">
                  <c:v>1862</c:v>
                </c:pt>
                <c:pt idx="63">
                  <c:v>1863</c:v>
                </c:pt>
                <c:pt idx="64">
                  <c:v>1864</c:v>
                </c:pt>
                <c:pt idx="65">
                  <c:v>1865</c:v>
                </c:pt>
                <c:pt idx="66">
                  <c:v>1866</c:v>
                </c:pt>
                <c:pt idx="67">
                  <c:v>1867</c:v>
                </c:pt>
                <c:pt idx="68">
                  <c:v>1868</c:v>
                </c:pt>
                <c:pt idx="69">
                  <c:v>1869</c:v>
                </c:pt>
                <c:pt idx="70">
                  <c:v>70</c:v>
                </c:pt>
                <c:pt idx="71">
                  <c:v>1871</c:v>
                </c:pt>
                <c:pt idx="72">
                  <c:v>1872</c:v>
                </c:pt>
                <c:pt idx="73">
                  <c:v>1873</c:v>
                </c:pt>
                <c:pt idx="74">
                  <c:v>1874</c:v>
                </c:pt>
                <c:pt idx="75">
                  <c:v>1875</c:v>
                </c:pt>
                <c:pt idx="76">
                  <c:v>1876</c:v>
                </c:pt>
                <c:pt idx="77">
                  <c:v>1877</c:v>
                </c:pt>
                <c:pt idx="78">
                  <c:v>1878</c:v>
                </c:pt>
                <c:pt idx="79">
                  <c:v>1879</c:v>
                </c:pt>
                <c:pt idx="80">
                  <c:v>80</c:v>
                </c:pt>
                <c:pt idx="81">
                  <c:v>1881</c:v>
                </c:pt>
                <c:pt idx="82">
                  <c:v>1882</c:v>
                </c:pt>
                <c:pt idx="83">
                  <c:v>1883</c:v>
                </c:pt>
                <c:pt idx="84">
                  <c:v>1884</c:v>
                </c:pt>
                <c:pt idx="85">
                  <c:v>1885</c:v>
                </c:pt>
                <c:pt idx="86">
                  <c:v>1886</c:v>
                </c:pt>
                <c:pt idx="87">
                  <c:v>1887</c:v>
                </c:pt>
                <c:pt idx="88">
                  <c:v>1888</c:v>
                </c:pt>
                <c:pt idx="89">
                  <c:v>1889</c:v>
                </c:pt>
                <c:pt idx="90">
                  <c:v>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10</c:v>
                </c:pt>
                <c:pt idx="111">
                  <c:v>1911</c:v>
                </c:pt>
                <c:pt idx="112">
                  <c:v>1912</c:v>
                </c:pt>
                <c:pt idx="113">
                  <c:v>1913</c:v>
                </c:pt>
                <c:pt idx="114">
                  <c:v>1914</c:v>
                </c:pt>
                <c:pt idx="115">
                  <c:v>1915</c:v>
                </c:pt>
                <c:pt idx="116">
                  <c:v>1916</c:v>
                </c:pt>
                <c:pt idx="117">
                  <c:v>1917</c:v>
                </c:pt>
                <c:pt idx="118">
                  <c:v>1918</c:v>
                </c:pt>
                <c:pt idx="119">
                  <c:v>1919</c:v>
                </c:pt>
                <c:pt idx="120">
                  <c:v>20</c:v>
                </c:pt>
                <c:pt idx="121">
                  <c:v>1921</c:v>
                </c:pt>
                <c:pt idx="122">
                  <c:v>1922</c:v>
                </c:pt>
                <c:pt idx="123">
                  <c:v>1923</c:v>
                </c:pt>
                <c:pt idx="124">
                  <c:v>1924</c:v>
                </c:pt>
                <c:pt idx="125">
                  <c:v>1925</c:v>
                </c:pt>
                <c:pt idx="126">
                  <c:v>1926</c:v>
                </c:pt>
                <c:pt idx="127">
                  <c:v>1927</c:v>
                </c:pt>
                <c:pt idx="128">
                  <c:v>1928</c:v>
                </c:pt>
                <c:pt idx="129">
                  <c:v>1929</c:v>
                </c:pt>
                <c:pt idx="130">
                  <c:v>30</c:v>
                </c:pt>
                <c:pt idx="131">
                  <c:v>1931</c:v>
                </c:pt>
                <c:pt idx="132">
                  <c:v>1932</c:v>
                </c:pt>
                <c:pt idx="133">
                  <c:v>1933</c:v>
                </c:pt>
                <c:pt idx="134">
                  <c:v>1934</c:v>
                </c:pt>
                <c:pt idx="135">
                  <c:v>1935</c:v>
                </c:pt>
                <c:pt idx="136">
                  <c:v>1936</c:v>
                </c:pt>
                <c:pt idx="137">
                  <c:v>1937</c:v>
                </c:pt>
                <c:pt idx="138">
                  <c:v>1938</c:v>
                </c:pt>
                <c:pt idx="139">
                  <c:v>1939</c:v>
                </c:pt>
                <c:pt idx="140">
                  <c:v>40</c:v>
                </c:pt>
                <c:pt idx="141">
                  <c:v>1941</c:v>
                </c:pt>
                <c:pt idx="142">
                  <c:v>1942</c:v>
                </c:pt>
                <c:pt idx="143">
                  <c:v>1943</c:v>
                </c:pt>
                <c:pt idx="144">
                  <c:v>1944</c:v>
                </c:pt>
                <c:pt idx="145">
                  <c:v>1945</c:v>
                </c:pt>
                <c:pt idx="146">
                  <c:v>1946</c:v>
                </c:pt>
                <c:pt idx="147">
                  <c:v>1947</c:v>
                </c:pt>
                <c:pt idx="148">
                  <c:v>1948</c:v>
                </c:pt>
                <c:pt idx="149">
                  <c:v>1949</c:v>
                </c:pt>
                <c:pt idx="150">
                  <c:v>50</c:v>
                </c:pt>
                <c:pt idx="151">
                  <c:v>1951</c:v>
                </c:pt>
                <c:pt idx="152">
                  <c:v>1952</c:v>
                </c:pt>
                <c:pt idx="153">
                  <c:v>1953</c:v>
                </c:pt>
                <c:pt idx="154">
                  <c:v>1954</c:v>
                </c:pt>
                <c:pt idx="155">
                  <c:v>1955</c:v>
                </c:pt>
                <c:pt idx="156">
                  <c:v>1956</c:v>
                </c:pt>
                <c:pt idx="157">
                  <c:v>1957</c:v>
                </c:pt>
                <c:pt idx="158">
                  <c:v>1958</c:v>
                </c:pt>
                <c:pt idx="159">
                  <c:v>1959</c:v>
                </c:pt>
                <c:pt idx="160">
                  <c:v>60</c:v>
                </c:pt>
                <c:pt idx="161">
                  <c:v>1961</c:v>
                </c:pt>
                <c:pt idx="162">
                  <c:v>1962</c:v>
                </c:pt>
                <c:pt idx="163">
                  <c:v>1963</c:v>
                </c:pt>
                <c:pt idx="164">
                  <c:v>1964</c:v>
                </c:pt>
                <c:pt idx="165">
                  <c:v>1965</c:v>
                </c:pt>
                <c:pt idx="166">
                  <c:v>1966</c:v>
                </c:pt>
                <c:pt idx="167">
                  <c:v>1967</c:v>
                </c:pt>
                <c:pt idx="168">
                  <c:v>1968</c:v>
                </c:pt>
                <c:pt idx="169">
                  <c:v>1969</c:v>
                </c:pt>
                <c:pt idx="170">
                  <c:v>70</c:v>
                </c:pt>
                <c:pt idx="171">
                  <c:v>1971</c:v>
                </c:pt>
                <c:pt idx="172">
                  <c:v>1972</c:v>
                </c:pt>
                <c:pt idx="173">
                  <c:v>1973</c:v>
                </c:pt>
                <c:pt idx="174">
                  <c:v>1974</c:v>
                </c:pt>
                <c:pt idx="175">
                  <c:v>1975</c:v>
                </c:pt>
                <c:pt idx="176">
                  <c:v>1976</c:v>
                </c:pt>
                <c:pt idx="177">
                  <c:v>1977</c:v>
                </c:pt>
                <c:pt idx="178">
                  <c:v>1978</c:v>
                </c:pt>
                <c:pt idx="179">
                  <c:v>1979</c:v>
                </c:pt>
                <c:pt idx="180">
                  <c:v>80</c:v>
                </c:pt>
                <c:pt idx="181">
                  <c:v>1981</c:v>
                </c:pt>
                <c:pt idx="182">
                  <c:v>1982</c:v>
                </c:pt>
                <c:pt idx="183">
                  <c:v>1983</c:v>
                </c:pt>
                <c:pt idx="184">
                  <c:v>1984</c:v>
                </c:pt>
                <c:pt idx="185">
                  <c:v>1985</c:v>
                </c:pt>
                <c:pt idx="186">
                  <c:v>1986</c:v>
                </c:pt>
                <c:pt idx="187">
                  <c:v>1987</c:v>
                </c:pt>
                <c:pt idx="188">
                  <c:v>1988</c:v>
                </c:pt>
                <c:pt idx="189">
                  <c:v>1989</c:v>
                </c:pt>
                <c:pt idx="190">
                  <c:v>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10</c:v>
                </c:pt>
                <c:pt idx="211">
                  <c:v>2011</c:v>
                </c:pt>
                <c:pt idx="212">
                  <c:v>2012</c:v>
                </c:pt>
                <c:pt idx="213">
                  <c:v>2013</c:v>
                </c:pt>
                <c:pt idx="214">
                  <c:v>2014</c:v>
                </c:pt>
                <c:pt idx="215">
                  <c:v>2015</c:v>
                </c:pt>
                <c:pt idx="216">
                  <c:v>2016</c:v>
                </c:pt>
                <c:pt idx="217">
                  <c:v>2017</c:v>
                </c:pt>
                <c:pt idx="218">
                  <c:v>2018</c:v>
                </c:pt>
                <c:pt idx="219">
                  <c:v>2019</c:v>
                </c:pt>
                <c:pt idx="220">
                  <c:v>20</c:v>
                </c:pt>
                <c:pt idx="221">
                  <c:v>2021</c:v>
                </c:pt>
              </c:numCache>
            </c:numRef>
          </c:cat>
          <c:val>
            <c:numRef>
              <c:f>'Figure 2.4.1.'!$P$2:$P$223</c:f>
              <c:numCache>
                <c:formatCode>0</c:formatCode>
                <c:ptCount val="222"/>
                <c:pt idx="0">
                  <c:v>1.6145959999999999</c:v>
                </c:pt>
                <c:pt idx="1">
                  <c:v>0.94356406000000004</c:v>
                </c:pt>
                <c:pt idx="2">
                  <c:v>0.76265305000000005</c:v>
                </c:pt>
                <c:pt idx="3">
                  <c:v>0.82029098</c:v>
                </c:pt>
                <c:pt idx="4">
                  <c:v>0.83370595999999997</c:v>
                </c:pt>
                <c:pt idx="5">
                  <c:v>1.073815</c:v>
                </c:pt>
                <c:pt idx="6">
                  <c:v>0.99852008000000003</c:v>
                </c:pt>
                <c:pt idx="7">
                  <c:v>0.88369196999999999</c:v>
                </c:pt>
                <c:pt idx="8">
                  <c:v>1.4108489</c:v>
                </c:pt>
                <c:pt idx="9">
                  <c:v>1.4770941</c:v>
                </c:pt>
                <c:pt idx="10">
                  <c:v>0.90340593000000002</c:v>
                </c:pt>
                <c:pt idx="11">
                  <c:v>0.96413800000000005</c:v>
                </c:pt>
                <c:pt idx="12">
                  <c:v>3.1335641000000001</c:v>
                </c:pt>
                <c:pt idx="13">
                  <c:v>4.5077011000000002</c:v>
                </c:pt>
                <c:pt idx="14">
                  <c:v>4.2978632000000001</c:v>
                </c:pt>
                <c:pt idx="15">
                  <c:v>3.3193359999999998</c:v>
                </c:pt>
                <c:pt idx="16">
                  <c:v>2.7370059000000002</c:v>
                </c:pt>
                <c:pt idx="17">
                  <c:v>1.8246709999999999</c:v>
                </c:pt>
                <c:pt idx="18">
                  <c:v>1.6922748999999999</c:v>
                </c:pt>
                <c:pt idx="19">
                  <c:v>2.1617989999999998</c:v>
                </c:pt>
                <c:pt idx="20">
                  <c:v>2.0022869999999999</c:v>
                </c:pt>
                <c:pt idx="21">
                  <c:v>1.7667238999999999</c:v>
                </c:pt>
                <c:pt idx="22">
                  <c:v>1.3958790999999999</c:v>
                </c:pt>
                <c:pt idx="23">
                  <c:v>1.3997181000000001</c:v>
                </c:pt>
                <c:pt idx="24">
                  <c:v>2.04128</c:v>
                </c:pt>
                <c:pt idx="25">
                  <c:v>1.3517650000000001</c:v>
                </c:pt>
                <c:pt idx="26">
                  <c:v>1.477716</c:v>
                </c:pt>
                <c:pt idx="27">
                  <c:v>1.4577171</c:v>
                </c:pt>
                <c:pt idx="28">
                  <c:v>1.5091909999999999</c:v>
                </c:pt>
                <c:pt idx="29">
                  <c:v>1.398895</c:v>
                </c:pt>
                <c:pt idx="30">
                  <c:v>1.4178949999999999</c:v>
                </c:pt>
                <c:pt idx="31">
                  <c:v>1.292076</c:v>
                </c:pt>
                <c:pt idx="32">
                  <c:v>1.4299541</c:v>
                </c:pt>
                <c:pt idx="33">
                  <c:v>1.749919</c:v>
                </c:pt>
                <c:pt idx="34">
                  <c:v>1.382296</c:v>
                </c:pt>
                <c:pt idx="35">
                  <c:v>1.072568</c:v>
                </c:pt>
                <c:pt idx="36">
                  <c:v>1.625408</c:v>
                </c:pt>
                <c:pt idx="37">
                  <c:v>2.0333869999999998</c:v>
                </c:pt>
                <c:pt idx="38">
                  <c:v>1.9254869999999999</c:v>
                </c:pt>
                <c:pt idx="39">
                  <c:v>1.371586</c:v>
                </c:pt>
                <c:pt idx="40">
                  <c:v>1.395554</c:v>
                </c:pt>
                <c:pt idx="41">
                  <c:v>1.5069380000000001</c:v>
                </c:pt>
                <c:pt idx="42">
                  <c:v>1.462993</c:v>
                </c:pt>
                <c:pt idx="43">
                  <c:v>0.69278797999999997</c:v>
                </c:pt>
                <c:pt idx="44">
                  <c:v>1.130317</c:v>
                </c:pt>
                <c:pt idx="45">
                  <c:v>1.11948</c:v>
                </c:pt>
                <c:pt idx="46">
                  <c:v>1.3057171000000001</c:v>
                </c:pt>
                <c:pt idx="47">
                  <c:v>2.405227</c:v>
                </c:pt>
                <c:pt idx="48">
                  <c:v>1.811461</c:v>
                </c:pt>
                <c:pt idx="49">
                  <c:v>1.7698769000000001</c:v>
                </c:pt>
                <c:pt idx="50">
                  <c:v>1.4095759999999999</c:v>
                </c:pt>
                <c:pt idx="51">
                  <c:v>1.6240591</c:v>
                </c:pt>
                <c:pt idx="52">
                  <c:v>1.3538249</c:v>
                </c:pt>
                <c:pt idx="53">
                  <c:v>1.2975209999999999</c:v>
                </c:pt>
                <c:pt idx="54">
                  <c:v>1.4164909999999999</c:v>
                </c:pt>
                <c:pt idx="55">
                  <c:v>1.4193979999999999</c:v>
                </c:pt>
                <c:pt idx="56">
                  <c:v>1.611462</c:v>
                </c:pt>
                <c:pt idx="57">
                  <c:v>1.5319309999999999</c:v>
                </c:pt>
                <c:pt idx="58">
                  <c:v>1.7850999999999999</c:v>
                </c:pt>
                <c:pt idx="59">
                  <c:v>1.5496350999999999</c:v>
                </c:pt>
                <c:pt idx="60">
                  <c:v>1.3367640000000001</c:v>
                </c:pt>
                <c:pt idx="61">
                  <c:v>1.339045</c:v>
                </c:pt>
                <c:pt idx="62">
                  <c:v>8.3769872000000003</c:v>
                </c:pt>
                <c:pt idx="63">
                  <c:v>9.3994149999999994</c:v>
                </c:pt>
                <c:pt idx="64">
                  <c:v>8.5184546999999995</c:v>
                </c:pt>
                <c:pt idx="65">
                  <c:v>12.963867</c:v>
                </c:pt>
                <c:pt idx="66">
                  <c:v>4.2362200999999997</c:v>
                </c:pt>
                <c:pt idx="67">
                  <c:v>2.4112898</c:v>
                </c:pt>
                <c:pt idx="68">
                  <c:v>2.7294499999999999</c:v>
                </c:pt>
                <c:pt idx="69">
                  <c:v>2.2368899999999998</c:v>
                </c:pt>
                <c:pt idx="70">
                  <c:v>2.21292</c:v>
                </c:pt>
                <c:pt idx="71">
                  <c:v>2.0760200000000002</c:v>
                </c:pt>
                <c:pt idx="72">
                  <c:v>1.7114799999999999</c:v>
                </c:pt>
                <c:pt idx="73">
                  <c:v>1.9956299</c:v>
                </c:pt>
                <c:pt idx="74">
                  <c:v>2.2615799999999999</c:v>
                </c:pt>
                <c:pt idx="75">
                  <c:v>2.0258498999999999</c:v>
                </c:pt>
                <c:pt idx="76">
                  <c:v>1.8988498</c:v>
                </c:pt>
                <c:pt idx="77">
                  <c:v>1.5698801</c:v>
                </c:pt>
                <c:pt idx="78">
                  <c:v>1.4830000000000001</c:v>
                </c:pt>
                <c:pt idx="79">
                  <c:v>1.6691100999999999</c:v>
                </c:pt>
                <c:pt idx="80">
                  <c:v>1.4393309000000001</c:v>
                </c:pt>
                <c:pt idx="81">
                  <c:v>1.5053559000000001</c:v>
                </c:pt>
                <c:pt idx="82">
                  <c:v>1.390039</c:v>
                </c:pt>
                <c:pt idx="83">
                  <c:v>1.6491971000000001</c:v>
                </c:pt>
                <c:pt idx="84">
                  <c:v>1.5503711</c:v>
                </c:pt>
                <c:pt idx="85">
                  <c:v>1.7137789000000001</c:v>
                </c:pt>
                <c:pt idx="86">
                  <c:v>1.4297660000000001</c:v>
                </c:pt>
                <c:pt idx="87">
                  <c:v>1.5912040000000001</c:v>
                </c:pt>
                <c:pt idx="88">
                  <c:v>1.634163</c:v>
                </c:pt>
                <c:pt idx="89">
                  <c:v>1.7752971</c:v>
                </c:pt>
                <c:pt idx="90">
                  <c:v>1.9426840999999999</c:v>
                </c:pt>
                <c:pt idx="91">
                  <c:v>2.1094249</c:v>
                </c:pt>
                <c:pt idx="92">
                  <c:v>2.0522290000000001</c:v>
                </c:pt>
                <c:pt idx="93">
                  <c:v>2.3430471000000002</c:v>
                </c:pt>
                <c:pt idx="94">
                  <c:v>2.4934620000000001</c:v>
                </c:pt>
                <c:pt idx="95">
                  <c:v>2.101432</c:v>
                </c:pt>
                <c:pt idx="96">
                  <c:v>2.0713651</c:v>
                </c:pt>
                <c:pt idx="97">
                  <c:v>2.0596789000000002</c:v>
                </c:pt>
                <c:pt idx="98">
                  <c:v>2.4474309999999999</c:v>
                </c:pt>
                <c:pt idx="99">
                  <c:v>3.0528518999999998</c:v>
                </c:pt>
                <c:pt idx="100">
                  <c:v>2.4919690000000001</c:v>
                </c:pt>
                <c:pt idx="101">
                  <c:v>2.2756750000000001</c:v>
                </c:pt>
                <c:pt idx="102">
                  <c:v>2.054989</c:v>
                </c:pt>
                <c:pt idx="103">
                  <c:v>2.0132319000000001</c:v>
                </c:pt>
                <c:pt idx="104">
                  <c:v>2.4037430999999998</c:v>
                </c:pt>
                <c:pt idx="105">
                  <c:v>2.1183890000000001</c:v>
                </c:pt>
                <c:pt idx="106">
                  <c:v>1.8116080000000001</c:v>
                </c:pt>
                <c:pt idx="107">
                  <c:v>1.7967841</c:v>
                </c:pt>
                <c:pt idx="108">
                  <c:v>2.4310768999999999</c:v>
                </c:pt>
                <c:pt idx="109">
                  <c:v>2.1930179000000001</c:v>
                </c:pt>
                <c:pt idx="110">
                  <c:v>2.1268479999999998</c:v>
                </c:pt>
                <c:pt idx="111">
                  <c:v>2.0550730000000001</c:v>
                </c:pt>
                <c:pt idx="112">
                  <c:v>1.9069661</c:v>
                </c:pt>
                <c:pt idx="113">
                  <c:v>1.8846419999999999</c:v>
                </c:pt>
                <c:pt idx="114">
                  <c:v>2.0500729999999998</c:v>
                </c:pt>
                <c:pt idx="115">
                  <c:v>2.0076879999999999</c:v>
                </c:pt>
                <c:pt idx="116">
                  <c:v>1.5439799999999999</c:v>
                </c:pt>
                <c:pt idx="117">
                  <c:v>3.7062040999999999</c:v>
                </c:pt>
                <c:pt idx="118">
                  <c:v>18.68844</c:v>
                </c:pt>
                <c:pt idx="119">
                  <c:v>23.342317000000001</c:v>
                </c:pt>
                <c:pt idx="120">
                  <c:v>6.1306001999999999</c:v>
                </c:pt>
                <c:pt idx="121">
                  <c:v>5.4945098999999997</c:v>
                </c:pt>
                <c:pt idx="122">
                  <c:v>3.15632</c:v>
                </c:pt>
                <c:pt idx="123">
                  <c:v>2.4548500999999998</c:v>
                </c:pt>
                <c:pt idx="124">
                  <c:v>2.2606000000000002</c:v>
                </c:pt>
                <c:pt idx="125">
                  <c:v>2.2353339999999999</c:v>
                </c:pt>
                <c:pt idx="126">
                  <c:v>2.1527949999999998</c:v>
                </c:pt>
                <c:pt idx="127">
                  <c:v>2.1388099</c:v>
                </c:pt>
                <c:pt idx="128">
                  <c:v>2.303064</c:v>
                </c:pt>
                <c:pt idx="129">
                  <c:v>2.3614929999999998</c:v>
                </c:pt>
                <c:pt idx="130">
                  <c:v>2.9144230000000002</c:v>
                </c:pt>
                <c:pt idx="131">
                  <c:v>3.871899</c:v>
                </c:pt>
                <c:pt idx="132">
                  <c:v>6.9045999</c:v>
                </c:pt>
                <c:pt idx="133">
                  <c:v>6.9310802999999996</c:v>
                </c:pt>
                <c:pt idx="134">
                  <c:v>8.9212103000000003</c:v>
                </c:pt>
                <c:pt idx="135">
                  <c:v>7.7436401999999998</c:v>
                </c:pt>
                <c:pt idx="136">
                  <c:v>9.1663628999999993</c:v>
                </c:pt>
                <c:pt idx="137">
                  <c:v>7.4718733999999998</c:v>
                </c:pt>
                <c:pt idx="138">
                  <c:v>6.7808900000000003</c:v>
                </c:pt>
                <c:pt idx="139">
                  <c:v>8.5877000999999993</c:v>
                </c:pt>
                <c:pt idx="140">
                  <c:v>7.9114801999999997</c:v>
                </c:pt>
                <c:pt idx="141">
                  <c:v>9.5850685000000002</c:v>
                </c:pt>
                <c:pt idx="142">
                  <c:v>20.257608000000001</c:v>
                </c:pt>
                <c:pt idx="143">
                  <c:v>39.092528000000001</c:v>
                </c:pt>
                <c:pt idx="144">
                  <c:v>42.046881999999997</c:v>
                </c:pt>
                <c:pt idx="145">
                  <c:v>42.460171000000003</c:v>
                </c:pt>
                <c:pt idx="146">
                  <c:v>25.013058999999998</c:v>
                </c:pt>
                <c:pt idx="147">
                  <c:v>13.897489999999999</c:v>
                </c:pt>
                <c:pt idx="148">
                  <c:v>10.290900000000001</c:v>
                </c:pt>
                <c:pt idx="149">
                  <c:v>12.75126</c:v>
                </c:pt>
                <c:pt idx="150">
                  <c:v>11.482839999999999</c:v>
                </c:pt>
                <c:pt idx="151">
                  <c:v>11.29829</c:v>
                </c:pt>
                <c:pt idx="152">
                  <c:v>16.57667</c:v>
                </c:pt>
                <c:pt idx="153">
                  <c:v>17.798380000000002</c:v>
                </c:pt>
                <c:pt idx="154">
                  <c:v>16.926649999999999</c:v>
                </c:pt>
                <c:pt idx="155">
                  <c:v>14.966009</c:v>
                </c:pt>
                <c:pt idx="156">
                  <c:v>14.53735</c:v>
                </c:pt>
                <c:pt idx="157">
                  <c:v>15.05879</c:v>
                </c:pt>
                <c:pt idx="158">
                  <c:v>16.022271</c:v>
                </c:pt>
                <c:pt idx="159">
                  <c:v>16.655791000000001</c:v>
                </c:pt>
                <c:pt idx="160">
                  <c:v>26.830690000000001</c:v>
                </c:pt>
                <c:pt idx="161">
                  <c:v>28.305239</c:v>
                </c:pt>
                <c:pt idx="162">
                  <c:v>28.370609999999999</c:v>
                </c:pt>
                <c:pt idx="163">
                  <c:v>28.132009</c:v>
                </c:pt>
                <c:pt idx="164">
                  <c:v>27.552630000000001</c:v>
                </c:pt>
                <c:pt idx="165">
                  <c:v>27.098091</c:v>
                </c:pt>
                <c:pt idx="166">
                  <c:v>28.09423</c:v>
                </c:pt>
                <c:pt idx="167">
                  <c:v>30.026209999999999</c:v>
                </c:pt>
                <c:pt idx="168">
                  <c:v>30.270379999999999</c:v>
                </c:pt>
                <c:pt idx="169">
                  <c:v>29.92963</c:v>
                </c:pt>
                <c:pt idx="170">
                  <c:v>30.86863</c:v>
                </c:pt>
                <c:pt idx="171">
                  <c:v>31.091059999999999</c:v>
                </c:pt>
                <c:pt idx="172">
                  <c:v>30.911218999999999</c:v>
                </c:pt>
                <c:pt idx="173">
                  <c:v>29.901800999999999</c:v>
                </c:pt>
                <c:pt idx="174">
                  <c:v>31.296509</c:v>
                </c:pt>
                <c:pt idx="175">
                  <c:v>33.666609000000001</c:v>
                </c:pt>
                <c:pt idx="176">
                  <c:v>32.315770000000001</c:v>
                </c:pt>
                <c:pt idx="177">
                  <c:v>31.479569000000001</c:v>
                </c:pt>
                <c:pt idx="178">
                  <c:v>30.673569000000001</c:v>
                </c:pt>
                <c:pt idx="179">
                  <c:v>30.63965</c:v>
                </c:pt>
                <c:pt idx="180">
                  <c:v>32.519801000000001</c:v>
                </c:pt>
                <c:pt idx="181">
                  <c:v>32.521562000000003</c:v>
                </c:pt>
                <c:pt idx="182">
                  <c:v>34.521678000000001</c:v>
                </c:pt>
                <c:pt idx="183">
                  <c:v>34.498950000000001</c:v>
                </c:pt>
                <c:pt idx="184">
                  <c:v>33.273338000000003</c:v>
                </c:pt>
                <c:pt idx="185">
                  <c:v>33.963439000000001</c:v>
                </c:pt>
                <c:pt idx="186">
                  <c:v>34.524239000000001</c:v>
                </c:pt>
                <c:pt idx="187">
                  <c:v>34.098542000000002</c:v>
                </c:pt>
                <c:pt idx="188">
                  <c:v>33.185009000000001</c:v>
                </c:pt>
                <c:pt idx="189">
                  <c:v>32.971730999999998</c:v>
                </c:pt>
                <c:pt idx="190">
                  <c:v>33.813310000000001</c:v>
                </c:pt>
                <c:pt idx="191">
                  <c:v>34.384439999999998</c:v>
                </c:pt>
                <c:pt idx="192">
                  <c:v>35.127259000000002</c:v>
                </c:pt>
                <c:pt idx="193">
                  <c:v>34.701729999999998</c:v>
                </c:pt>
                <c:pt idx="194">
                  <c:v>33.757269000000001</c:v>
                </c:pt>
                <c:pt idx="195">
                  <c:v>33.532710999999999</c:v>
                </c:pt>
                <c:pt idx="196">
                  <c:v>33.158518999999998</c:v>
                </c:pt>
                <c:pt idx="197">
                  <c:v>32.215719999999997</c:v>
                </c:pt>
                <c:pt idx="198">
                  <c:v>31.545299</c:v>
                </c:pt>
                <c:pt idx="199">
                  <c:v>31.490628999999998</c:v>
                </c:pt>
                <c:pt idx="200">
                  <c:v>31.422519000000001</c:v>
                </c:pt>
                <c:pt idx="201">
                  <c:v>29.537972</c:v>
                </c:pt>
                <c:pt idx="202">
                  <c:v>30.799581</c:v>
                </c:pt>
                <c:pt idx="203">
                  <c:v>31.372502000000001</c:v>
                </c:pt>
                <c:pt idx="204">
                  <c:v>31.149516999999999</c:v>
                </c:pt>
                <c:pt idx="205">
                  <c:v>31.217290999999999</c:v>
                </c:pt>
                <c:pt idx="206">
                  <c:v>30.909579999999998</c:v>
                </c:pt>
                <c:pt idx="207">
                  <c:v>31.621714000000001</c:v>
                </c:pt>
                <c:pt idx="208">
                  <c:v>34.359856000000001</c:v>
                </c:pt>
                <c:pt idx="209">
                  <c:v>38.817971</c:v>
                </c:pt>
                <c:pt idx="210">
                  <c:v>37.074741000000003</c:v>
                </c:pt>
                <c:pt idx="211">
                  <c:v>35.903869999999998</c:v>
                </c:pt>
                <c:pt idx="212">
                  <c:v>34.484116</c:v>
                </c:pt>
                <c:pt idx="213">
                  <c:v>33.349077000000001</c:v>
                </c:pt>
                <c:pt idx="214">
                  <c:v>32.946784000000001</c:v>
                </c:pt>
                <c:pt idx="215">
                  <c:v>32.839843000000002</c:v>
                </c:pt>
                <c:pt idx="216">
                  <c:v>33.048268999999998</c:v>
                </c:pt>
                <c:pt idx="217">
                  <c:v>32.867916999999998</c:v>
                </c:pt>
                <c:pt idx="218">
                  <c:v>32.685814000000001</c:v>
                </c:pt>
                <c:pt idx="219">
                  <c:v>32.885689999999997</c:v>
                </c:pt>
                <c:pt idx="220">
                  <c:v>42.699835999999998</c:v>
                </c:pt>
                <c:pt idx="221">
                  <c:v>39.413392000000002</c:v>
                </c:pt>
              </c:numCache>
            </c:numRef>
          </c:val>
          <c:smooth val="0"/>
          <c:extLst>
            <c:ext xmlns:c16="http://schemas.microsoft.com/office/drawing/2014/chart" uri="{C3380CC4-5D6E-409C-BE32-E72D297353CC}">
              <c16:uniqueId val="{00000003-D545-47BA-B058-767922E9BF1F}"/>
            </c:ext>
          </c:extLst>
        </c:ser>
        <c:dLbls>
          <c:showLegendKey val="0"/>
          <c:showVal val="0"/>
          <c:showCatName val="0"/>
          <c:showSerName val="0"/>
          <c:showPercent val="0"/>
          <c:showBubbleSize val="0"/>
        </c:dLbls>
        <c:marker val="1"/>
        <c:smooth val="0"/>
        <c:axId val="297308288"/>
        <c:axId val="297307456"/>
      </c:lineChart>
      <c:catAx>
        <c:axId val="297289984"/>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7293312"/>
        <c:crosses val="autoZero"/>
        <c:auto val="1"/>
        <c:lblAlgn val="ctr"/>
        <c:lblOffset val="100"/>
        <c:tickMarkSkip val="10"/>
        <c:noMultiLvlLbl val="0"/>
      </c:catAx>
      <c:valAx>
        <c:axId val="297293312"/>
        <c:scaling>
          <c:orientation val="minMax"/>
          <c:max val="150"/>
          <c:min val="0"/>
        </c:scaling>
        <c:delete val="0"/>
        <c:axPos val="l"/>
        <c:numFmt formatCode="General"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7289984"/>
        <c:crosses val="autoZero"/>
        <c:crossBetween val="between"/>
        <c:majorUnit val="25"/>
      </c:valAx>
      <c:valAx>
        <c:axId val="297307456"/>
        <c:scaling>
          <c:orientation val="minMax"/>
        </c:scaling>
        <c:delete val="0"/>
        <c:axPos val="r"/>
        <c:numFmt formatCode="0"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7308288"/>
        <c:crosses val="max"/>
        <c:crossBetween val="between"/>
      </c:valAx>
      <c:catAx>
        <c:axId val="297308288"/>
        <c:scaling>
          <c:orientation val="minMax"/>
        </c:scaling>
        <c:delete val="1"/>
        <c:axPos val="b"/>
        <c:numFmt formatCode="General" sourceLinked="1"/>
        <c:majorTickMark val="out"/>
        <c:minorTickMark val="none"/>
        <c:tickLblPos val="nextTo"/>
        <c:crossAx val="297307456"/>
        <c:crosses val="autoZero"/>
        <c:auto val="1"/>
        <c:lblAlgn val="ctr"/>
        <c:lblOffset val="100"/>
        <c:noMultiLvlLbl val="0"/>
      </c:catAx>
      <c:spPr>
        <a:noFill/>
        <a:ln>
          <a:noFill/>
        </a:ln>
        <a:effectLst/>
      </c:spPr>
    </c:plotArea>
    <c:legend>
      <c:legendPos val="l"/>
      <c:legendEntry>
        <c:idx val="0"/>
        <c:delete val="1"/>
      </c:legendEntry>
      <c:layout>
        <c:manualLayout>
          <c:xMode val="edge"/>
          <c:yMode val="edge"/>
          <c:x val="9.6710994303835271E-2"/>
          <c:y val="0.15468968718805315"/>
          <c:w val="0.41358436977011198"/>
          <c:h val="0.39898051008547308"/>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7585873305491E-2"/>
          <c:y val="4.9886621315192746E-2"/>
          <c:w val="0.83670834302788355"/>
          <c:h val="0.78989412037780993"/>
        </c:manualLayout>
      </c:layout>
      <c:barChart>
        <c:barDir val="col"/>
        <c:grouping val="clustered"/>
        <c:varyColors val="0"/>
        <c:ser>
          <c:idx val="3"/>
          <c:order val="3"/>
          <c:tx>
            <c:strRef>
              <c:f>'Figure 2.4.1.'!$V$31</c:f>
              <c:strCache>
                <c:ptCount val="1"/>
                <c:pt idx="0">
                  <c:v>Shade</c:v>
                </c:pt>
              </c:strCache>
            </c:strRef>
          </c:tx>
          <c:spPr>
            <a:solidFill>
              <a:schemeClr val="accent3">
                <a:lumMod val="60000"/>
                <a:lumOff val="40000"/>
              </a:schemeClr>
            </a:solidFill>
            <a:ln>
              <a:noFill/>
            </a:ln>
            <a:effectLst/>
          </c:spPr>
          <c:invertIfNegative val="0"/>
          <c:val>
            <c:numRef>
              <c:f>'Figure 2.4.1.'!$V$32:$V$223</c:f>
              <c:numCache>
                <c:formatCode>General</c:formatCode>
                <c:ptCount val="192"/>
                <c:pt idx="84">
                  <c:v>300</c:v>
                </c:pt>
                <c:pt idx="85">
                  <c:v>300</c:v>
                </c:pt>
                <c:pt idx="86">
                  <c:v>300</c:v>
                </c:pt>
                <c:pt idx="87">
                  <c:v>300</c:v>
                </c:pt>
                <c:pt idx="88">
                  <c:v>300</c:v>
                </c:pt>
                <c:pt idx="109">
                  <c:v>300</c:v>
                </c:pt>
                <c:pt idx="110">
                  <c:v>300</c:v>
                </c:pt>
                <c:pt idx="111">
                  <c:v>300</c:v>
                </c:pt>
                <c:pt idx="112">
                  <c:v>300</c:v>
                </c:pt>
                <c:pt idx="113">
                  <c:v>300</c:v>
                </c:pt>
                <c:pt idx="114">
                  <c:v>300</c:v>
                </c:pt>
                <c:pt idx="190">
                  <c:v>300</c:v>
                </c:pt>
              </c:numCache>
            </c:numRef>
          </c:val>
          <c:extLst>
            <c:ext xmlns:c16="http://schemas.microsoft.com/office/drawing/2014/chart" uri="{C3380CC4-5D6E-409C-BE32-E72D297353CC}">
              <c16:uniqueId val="{00000000-B46E-4F11-8E55-415377E027F0}"/>
            </c:ext>
          </c:extLst>
        </c:ser>
        <c:dLbls>
          <c:showLegendKey val="0"/>
          <c:showVal val="0"/>
          <c:showCatName val="0"/>
          <c:showSerName val="0"/>
          <c:showPercent val="0"/>
          <c:showBubbleSize val="0"/>
        </c:dLbls>
        <c:gapWidth val="0"/>
        <c:overlap val="100"/>
        <c:axId val="2111592671"/>
        <c:axId val="2111593087"/>
      </c:barChart>
      <c:lineChart>
        <c:grouping val="standard"/>
        <c:varyColors val="0"/>
        <c:ser>
          <c:idx val="2"/>
          <c:order val="2"/>
          <c:tx>
            <c:strRef>
              <c:f>'Figure 2.4.1.'!$AB$31</c:f>
              <c:strCache>
                <c:ptCount val="1"/>
                <c:pt idx="0">
                  <c:v>Debt (left scale)</c:v>
                </c:pt>
              </c:strCache>
            </c:strRef>
          </c:tx>
          <c:spPr>
            <a:ln w="22225" cap="rnd">
              <a:solidFill>
                <a:srgbClr val="7030A0"/>
              </a:solidFill>
              <a:round/>
            </a:ln>
            <a:effectLst/>
          </c:spPr>
          <c:marker>
            <c:symbol val="none"/>
          </c:marker>
          <c:cat>
            <c:numRef>
              <c:f>'Figure 2.4.1.'!$U$32:$U$223</c:f>
              <c:numCache>
                <c:formatCode>General</c:formatCode>
                <c:ptCount val="192"/>
                <c:pt idx="0">
                  <c:v>1830</c:v>
                </c:pt>
                <c:pt idx="1">
                  <c:v>1831</c:v>
                </c:pt>
                <c:pt idx="2">
                  <c:v>1832</c:v>
                </c:pt>
                <c:pt idx="3">
                  <c:v>1833</c:v>
                </c:pt>
                <c:pt idx="4">
                  <c:v>1834</c:v>
                </c:pt>
                <c:pt idx="5">
                  <c:v>1835</c:v>
                </c:pt>
                <c:pt idx="6">
                  <c:v>1836</c:v>
                </c:pt>
                <c:pt idx="7">
                  <c:v>1837</c:v>
                </c:pt>
                <c:pt idx="8">
                  <c:v>1838</c:v>
                </c:pt>
                <c:pt idx="9">
                  <c:v>1839</c:v>
                </c:pt>
                <c:pt idx="10">
                  <c:v>40</c:v>
                </c:pt>
                <c:pt idx="11">
                  <c:v>1841</c:v>
                </c:pt>
                <c:pt idx="12">
                  <c:v>1842</c:v>
                </c:pt>
                <c:pt idx="13">
                  <c:v>1843</c:v>
                </c:pt>
                <c:pt idx="14">
                  <c:v>1844</c:v>
                </c:pt>
                <c:pt idx="15">
                  <c:v>1845</c:v>
                </c:pt>
                <c:pt idx="16">
                  <c:v>1846</c:v>
                </c:pt>
                <c:pt idx="17">
                  <c:v>1847</c:v>
                </c:pt>
                <c:pt idx="18">
                  <c:v>1848</c:v>
                </c:pt>
                <c:pt idx="19">
                  <c:v>1849</c:v>
                </c:pt>
                <c:pt idx="20">
                  <c:v>50</c:v>
                </c:pt>
                <c:pt idx="21">
                  <c:v>1851</c:v>
                </c:pt>
                <c:pt idx="22">
                  <c:v>1852</c:v>
                </c:pt>
                <c:pt idx="23">
                  <c:v>1853</c:v>
                </c:pt>
                <c:pt idx="24">
                  <c:v>1854</c:v>
                </c:pt>
                <c:pt idx="25">
                  <c:v>1855</c:v>
                </c:pt>
                <c:pt idx="26">
                  <c:v>1856</c:v>
                </c:pt>
                <c:pt idx="27">
                  <c:v>1857</c:v>
                </c:pt>
                <c:pt idx="28">
                  <c:v>1858</c:v>
                </c:pt>
                <c:pt idx="29">
                  <c:v>1859</c:v>
                </c:pt>
                <c:pt idx="30">
                  <c:v>60</c:v>
                </c:pt>
                <c:pt idx="31">
                  <c:v>1861</c:v>
                </c:pt>
                <c:pt idx="32">
                  <c:v>1862</c:v>
                </c:pt>
                <c:pt idx="33">
                  <c:v>1863</c:v>
                </c:pt>
                <c:pt idx="34">
                  <c:v>1864</c:v>
                </c:pt>
                <c:pt idx="35">
                  <c:v>1865</c:v>
                </c:pt>
                <c:pt idx="36">
                  <c:v>1866</c:v>
                </c:pt>
                <c:pt idx="37">
                  <c:v>1867</c:v>
                </c:pt>
                <c:pt idx="38">
                  <c:v>1868</c:v>
                </c:pt>
                <c:pt idx="39">
                  <c:v>1869</c:v>
                </c:pt>
                <c:pt idx="40">
                  <c:v>70</c:v>
                </c:pt>
                <c:pt idx="41">
                  <c:v>1871</c:v>
                </c:pt>
                <c:pt idx="42">
                  <c:v>1872</c:v>
                </c:pt>
                <c:pt idx="43">
                  <c:v>1873</c:v>
                </c:pt>
                <c:pt idx="44">
                  <c:v>1874</c:v>
                </c:pt>
                <c:pt idx="45">
                  <c:v>1875</c:v>
                </c:pt>
                <c:pt idx="46">
                  <c:v>1876</c:v>
                </c:pt>
                <c:pt idx="47">
                  <c:v>1877</c:v>
                </c:pt>
                <c:pt idx="48">
                  <c:v>1878</c:v>
                </c:pt>
                <c:pt idx="49">
                  <c:v>1879</c:v>
                </c:pt>
                <c:pt idx="50">
                  <c:v>80</c:v>
                </c:pt>
                <c:pt idx="51">
                  <c:v>1881</c:v>
                </c:pt>
                <c:pt idx="52">
                  <c:v>1882</c:v>
                </c:pt>
                <c:pt idx="53">
                  <c:v>1883</c:v>
                </c:pt>
                <c:pt idx="54">
                  <c:v>1884</c:v>
                </c:pt>
                <c:pt idx="55">
                  <c:v>1885</c:v>
                </c:pt>
                <c:pt idx="56">
                  <c:v>1886</c:v>
                </c:pt>
                <c:pt idx="57">
                  <c:v>1887</c:v>
                </c:pt>
                <c:pt idx="58">
                  <c:v>1888</c:v>
                </c:pt>
                <c:pt idx="59">
                  <c:v>1889</c:v>
                </c:pt>
                <c:pt idx="60">
                  <c:v>90</c:v>
                </c:pt>
                <c:pt idx="61">
                  <c:v>1891</c:v>
                </c:pt>
                <c:pt idx="62">
                  <c:v>1892</c:v>
                </c:pt>
                <c:pt idx="63">
                  <c:v>1893</c:v>
                </c:pt>
                <c:pt idx="64">
                  <c:v>1894</c:v>
                </c:pt>
                <c:pt idx="65">
                  <c:v>1895</c:v>
                </c:pt>
                <c:pt idx="66">
                  <c:v>1896</c:v>
                </c:pt>
                <c:pt idx="67">
                  <c:v>1897</c:v>
                </c:pt>
                <c:pt idx="68">
                  <c:v>1898</c:v>
                </c:pt>
                <c:pt idx="69">
                  <c:v>1899</c:v>
                </c:pt>
                <c:pt idx="70">
                  <c:v>1900</c:v>
                </c:pt>
                <c:pt idx="71">
                  <c:v>1901</c:v>
                </c:pt>
                <c:pt idx="72">
                  <c:v>1902</c:v>
                </c:pt>
                <c:pt idx="73">
                  <c:v>1903</c:v>
                </c:pt>
                <c:pt idx="74">
                  <c:v>1904</c:v>
                </c:pt>
                <c:pt idx="75">
                  <c:v>1905</c:v>
                </c:pt>
                <c:pt idx="76">
                  <c:v>1906</c:v>
                </c:pt>
                <c:pt idx="77">
                  <c:v>1907</c:v>
                </c:pt>
                <c:pt idx="78">
                  <c:v>1908</c:v>
                </c:pt>
                <c:pt idx="79">
                  <c:v>1909</c:v>
                </c:pt>
                <c:pt idx="80">
                  <c:v>10</c:v>
                </c:pt>
                <c:pt idx="81">
                  <c:v>1911</c:v>
                </c:pt>
                <c:pt idx="82">
                  <c:v>1912</c:v>
                </c:pt>
                <c:pt idx="83">
                  <c:v>1913</c:v>
                </c:pt>
                <c:pt idx="84">
                  <c:v>1914</c:v>
                </c:pt>
                <c:pt idx="85">
                  <c:v>1915</c:v>
                </c:pt>
                <c:pt idx="86">
                  <c:v>1916</c:v>
                </c:pt>
                <c:pt idx="87">
                  <c:v>1917</c:v>
                </c:pt>
                <c:pt idx="88">
                  <c:v>1918</c:v>
                </c:pt>
                <c:pt idx="89">
                  <c:v>1919</c:v>
                </c:pt>
                <c:pt idx="90">
                  <c:v>20</c:v>
                </c:pt>
                <c:pt idx="91">
                  <c:v>1921</c:v>
                </c:pt>
                <c:pt idx="92">
                  <c:v>1922</c:v>
                </c:pt>
                <c:pt idx="93">
                  <c:v>1923</c:v>
                </c:pt>
                <c:pt idx="94">
                  <c:v>1924</c:v>
                </c:pt>
                <c:pt idx="95">
                  <c:v>1925</c:v>
                </c:pt>
                <c:pt idx="96">
                  <c:v>1926</c:v>
                </c:pt>
                <c:pt idx="97">
                  <c:v>1927</c:v>
                </c:pt>
                <c:pt idx="98">
                  <c:v>1928</c:v>
                </c:pt>
                <c:pt idx="99">
                  <c:v>1929</c:v>
                </c:pt>
                <c:pt idx="100">
                  <c:v>30</c:v>
                </c:pt>
                <c:pt idx="101">
                  <c:v>1931</c:v>
                </c:pt>
                <c:pt idx="102">
                  <c:v>1932</c:v>
                </c:pt>
                <c:pt idx="103">
                  <c:v>1933</c:v>
                </c:pt>
                <c:pt idx="104">
                  <c:v>1934</c:v>
                </c:pt>
                <c:pt idx="105">
                  <c:v>1935</c:v>
                </c:pt>
                <c:pt idx="106">
                  <c:v>1936</c:v>
                </c:pt>
                <c:pt idx="107">
                  <c:v>1937</c:v>
                </c:pt>
                <c:pt idx="108">
                  <c:v>1938</c:v>
                </c:pt>
                <c:pt idx="109">
                  <c:v>1939</c:v>
                </c:pt>
                <c:pt idx="110">
                  <c:v>40</c:v>
                </c:pt>
                <c:pt idx="111">
                  <c:v>1941</c:v>
                </c:pt>
                <c:pt idx="112">
                  <c:v>1942</c:v>
                </c:pt>
                <c:pt idx="113">
                  <c:v>1943</c:v>
                </c:pt>
                <c:pt idx="114">
                  <c:v>1944</c:v>
                </c:pt>
                <c:pt idx="115">
                  <c:v>1945</c:v>
                </c:pt>
                <c:pt idx="116">
                  <c:v>1946</c:v>
                </c:pt>
                <c:pt idx="117">
                  <c:v>1947</c:v>
                </c:pt>
                <c:pt idx="118">
                  <c:v>1948</c:v>
                </c:pt>
                <c:pt idx="119">
                  <c:v>1949</c:v>
                </c:pt>
                <c:pt idx="120">
                  <c:v>50</c:v>
                </c:pt>
                <c:pt idx="121">
                  <c:v>1951</c:v>
                </c:pt>
                <c:pt idx="122">
                  <c:v>1952</c:v>
                </c:pt>
                <c:pt idx="123">
                  <c:v>1953</c:v>
                </c:pt>
                <c:pt idx="124">
                  <c:v>1954</c:v>
                </c:pt>
                <c:pt idx="125">
                  <c:v>1955</c:v>
                </c:pt>
                <c:pt idx="126">
                  <c:v>1956</c:v>
                </c:pt>
                <c:pt idx="127">
                  <c:v>1957</c:v>
                </c:pt>
                <c:pt idx="128">
                  <c:v>1958</c:v>
                </c:pt>
                <c:pt idx="129">
                  <c:v>1959</c:v>
                </c:pt>
                <c:pt idx="130">
                  <c:v>60</c:v>
                </c:pt>
                <c:pt idx="131">
                  <c:v>1961</c:v>
                </c:pt>
                <c:pt idx="132">
                  <c:v>1962</c:v>
                </c:pt>
                <c:pt idx="133">
                  <c:v>1963</c:v>
                </c:pt>
                <c:pt idx="134">
                  <c:v>1964</c:v>
                </c:pt>
                <c:pt idx="135">
                  <c:v>1965</c:v>
                </c:pt>
                <c:pt idx="136">
                  <c:v>1966</c:v>
                </c:pt>
                <c:pt idx="137">
                  <c:v>1967</c:v>
                </c:pt>
                <c:pt idx="138">
                  <c:v>1968</c:v>
                </c:pt>
                <c:pt idx="139">
                  <c:v>1969</c:v>
                </c:pt>
                <c:pt idx="140">
                  <c:v>70</c:v>
                </c:pt>
                <c:pt idx="141">
                  <c:v>1971</c:v>
                </c:pt>
                <c:pt idx="142">
                  <c:v>1972</c:v>
                </c:pt>
                <c:pt idx="143">
                  <c:v>1973</c:v>
                </c:pt>
                <c:pt idx="144">
                  <c:v>1974</c:v>
                </c:pt>
                <c:pt idx="145">
                  <c:v>1975</c:v>
                </c:pt>
                <c:pt idx="146">
                  <c:v>1976</c:v>
                </c:pt>
                <c:pt idx="147">
                  <c:v>1977</c:v>
                </c:pt>
                <c:pt idx="148">
                  <c:v>1978</c:v>
                </c:pt>
                <c:pt idx="149">
                  <c:v>1979</c:v>
                </c:pt>
                <c:pt idx="150">
                  <c:v>80</c:v>
                </c:pt>
                <c:pt idx="151">
                  <c:v>1981</c:v>
                </c:pt>
                <c:pt idx="152">
                  <c:v>1982</c:v>
                </c:pt>
                <c:pt idx="153">
                  <c:v>1983</c:v>
                </c:pt>
                <c:pt idx="154">
                  <c:v>1984</c:v>
                </c:pt>
                <c:pt idx="155">
                  <c:v>1985</c:v>
                </c:pt>
                <c:pt idx="156">
                  <c:v>1986</c:v>
                </c:pt>
                <c:pt idx="157">
                  <c:v>1987</c:v>
                </c:pt>
                <c:pt idx="158">
                  <c:v>1988</c:v>
                </c:pt>
                <c:pt idx="159">
                  <c:v>1989</c:v>
                </c:pt>
                <c:pt idx="160">
                  <c:v>90</c:v>
                </c:pt>
                <c:pt idx="161">
                  <c:v>1991</c:v>
                </c:pt>
                <c:pt idx="162">
                  <c:v>1992</c:v>
                </c:pt>
                <c:pt idx="163">
                  <c:v>1993</c:v>
                </c:pt>
                <c:pt idx="164">
                  <c:v>1994</c:v>
                </c:pt>
                <c:pt idx="165">
                  <c:v>1995</c:v>
                </c:pt>
                <c:pt idx="166">
                  <c:v>1996</c:v>
                </c:pt>
                <c:pt idx="167">
                  <c:v>1997</c:v>
                </c:pt>
                <c:pt idx="168">
                  <c:v>1998</c:v>
                </c:pt>
                <c:pt idx="169">
                  <c:v>1999</c:v>
                </c:pt>
                <c:pt idx="170">
                  <c:v>2000</c:v>
                </c:pt>
                <c:pt idx="171">
                  <c:v>2001</c:v>
                </c:pt>
                <c:pt idx="172">
                  <c:v>2002</c:v>
                </c:pt>
                <c:pt idx="173">
                  <c:v>2003</c:v>
                </c:pt>
                <c:pt idx="174">
                  <c:v>2004</c:v>
                </c:pt>
                <c:pt idx="175">
                  <c:v>2005</c:v>
                </c:pt>
                <c:pt idx="176">
                  <c:v>2006</c:v>
                </c:pt>
                <c:pt idx="177">
                  <c:v>2007</c:v>
                </c:pt>
                <c:pt idx="178">
                  <c:v>2008</c:v>
                </c:pt>
                <c:pt idx="179">
                  <c:v>2009</c:v>
                </c:pt>
                <c:pt idx="180">
                  <c:v>10</c:v>
                </c:pt>
                <c:pt idx="181">
                  <c:v>2011</c:v>
                </c:pt>
                <c:pt idx="182">
                  <c:v>2012</c:v>
                </c:pt>
                <c:pt idx="183">
                  <c:v>2013</c:v>
                </c:pt>
                <c:pt idx="184">
                  <c:v>2014</c:v>
                </c:pt>
                <c:pt idx="185">
                  <c:v>2015</c:v>
                </c:pt>
                <c:pt idx="186">
                  <c:v>2016</c:v>
                </c:pt>
                <c:pt idx="187">
                  <c:v>2017</c:v>
                </c:pt>
                <c:pt idx="188">
                  <c:v>2018</c:v>
                </c:pt>
                <c:pt idx="189">
                  <c:v>2019</c:v>
                </c:pt>
                <c:pt idx="190">
                  <c:v>20</c:v>
                </c:pt>
                <c:pt idx="191">
                  <c:v>2021</c:v>
                </c:pt>
              </c:numCache>
            </c:numRef>
          </c:cat>
          <c:val>
            <c:numRef>
              <c:f>'Figure 2.4.1.'!$AB$32:$AB$223</c:f>
              <c:numCache>
                <c:formatCode>0</c:formatCode>
                <c:ptCount val="192"/>
                <c:pt idx="0">
                  <c:v>165.63200000000001</c:v>
                </c:pt>
                <c:pt idx="1">
                  <c:v>164.58299</c:v>
                </c:pt>
                <c:pt idx="2">
                  <c:v>169.935</c:v>
                </c:pt>
                <c:pt idx="3">
                  <c:v>172.185</c:v>
                </c:pt>
                <c:pt idx="4">
                  <c:v>162.16200000000001</c:v>
                </c:pt>
                <c:pt idx="5">
                  <c:v>151.57499999999999</c:v>
                </c:pt>
                <c:pt idx="6">
                  <c:v>145.75700000000001</c:v>
                </c:pt>
                <c:pt idx="7">
                  <c:v>151.63200000000001</c:v>
                </c:pt>
                <c:pt idx="8">
                  <c:v>142.85699</c:v>
                </c:pt>
                <c:pt idx="9">
                  <c:v>135.739</c:v>
                </c:pt>
                <c:pt idx="10">
                  <c:v>144.68899999999999</c:v>
                </c:pt>
                <c:pt idx="11">
                  <c:v>151.923</c:v>
                </c:pt>
                <c:pt idx="12">
                  <c:v>158</c:v>
                </c:pt>
                <c:pt idx="13">
                  <c:v>158.63498999999999</c:v>
                </c:pt>
                <c:pt idx="14">
                  <c:v>145.48801</c:v>
                </c:pt>
                <c:pt idx="15">
                  <c:v>137.39100999999999</c:v>
                </c:pt>
                <c:pt idx="16">
                  <c:v>128.66498999999999</c:v>
                </c:pt>
                <c:pt idx="17">
                  <c:v>123.824</c:v>
                </c:pt>
                <c:pt idx="18">
                  <c:v>128.66498999999999</c:v>
                </c:pt>
                <c:pt idx="19">
                  <c:v>126.4</c:v>
                </c:pt>
                <c:pt idx="20">
                  <c:v>138.11199999999999</c:v>
                </c:pt>
                <c:pt idx="21">
                  <c:v>131.44800000000001</c:v>
                </c:pt>
                <c:pt idx="22">
                  <c:v>130.14798999999999</c:v>
                </c:pt>
                <c:pt idx="23">
                  <c:v>115.044</c:v>
                </c:pt>
                <c:pt idx="24">
                  <c:v>107.242</c:v>
                </c:pt>
                <c:pt idx="25">
                  <c:v>105.548</c:v>
                </c:pt>
                <c:pt idx="26">
                  <c:v>105.33199999999999</c:v>
                </c:pt>
                <c:pt idx="27">
                  <c:v>103.979</c:v>
                </c:pt>
                <c:pt idx="28">
                  <c:v>107.71299999999999</c:v>
                </c:pt>
                <c:pt idx="29">
                  <c:v>102.015</c:v>
                </c:pt>
                <c:pt idx="30">
                  <c:v>99.753699999999995</c:v>
                </c:pt>
                <c:pt idx="31">
                  <c:v>95.631598999999994</c:v>
                </c:pt>
                <c:pt idx="32">
                  <c:v>93.023201</c:v>
                </c:pt>
                <c:pt idx="33">
                  <c:v>89.285697999999996</c:v>
                </c:pt>
                <c:pt idx="34">
                  <c:v>83.597899999999996</c:v>
                </c:pt>
                <c:pt idx="35">
                  <c:v>81.025597000000005</c:v>
                </c:pt>
                <c:pt idx="36">
                  <c:v>76.470596</c:v>
                </c:pt>
                <c:pt idx="37">
                  <c:v>77.844299000000007</c:v>
                </c:pt>
                <c:pt idx="38">
                  <c:v>74.925101999999995</c:v>
                </c:pt>
                <c:pt idx="39">
                  <c:v>74.552695999999997</c:v>
                </c:pt>
                <c:pt idx="40">
                  <c:v>70.488701000000006</c:v>
                </c:pt>
                <c:pt idx="41">
                  <c:v>64.347801000000004</c:v>
                </c:pt>
                <c:pt idx="42">
                  <c:v>60.655701000000001</c:v>
                </c:pt>
                <c:pt idx="43">
                  <c:v>57.031300000000002</c:v>
                </c:pt>
                <c:pt idx="44">
                  <c:v>57.389899999999997</c:v>
                </c:pt>
                <c:pt idx="45">
                  <c:v>57.831299000000001</c:v>
                </c:pt>
                <c:pt idx="46">
                  <c:v>59.3979</c:v>
                </c:pt>
                <c:pt idx="47">
                  <c:v>60.032902</c:v>
                </c:pt>
                <c:pt idx="48">
                  <c:v>61.655399000000003</c:v>
                </c:pt>
                <c:pt idx="49">
                  <c:v>64.798598999999996</c:v>
                </c:pt>
                <c:pt idx="50">
                  <c:v>65.401199000000005</c:v>
                </c:pt>
                <c:pt idx="51">
                  <c:v>64.360496999999995</c:v>
                </c:pt>
                <c:pt idx="52">
                  <c:v>61.547001000000002</c:v>
                </c:pt>
                <c:pt idx="53">
                  <c:v>61.496200999999999</c:v>
                </c:pt>
                <c:pt idx="54">
                  <c:v>56.050800000000002</c:v>
                </c:pt>
                <c:pt idx="55">
                  <c:v>57.785998999999997</c:v>
                </c:pt>
                <c:pt idx="56">
                  <c:v>57.482300000000002</c:v>
                </c:pt>
                <c:pt idx="57">
                  <c:v>55.430401000000003</c:v>
                </c:pt>
                <c:pt idx="58">
                  <c:v>51.319302</c:v>
                </c:pt>
                <c:pt idx="59">
                  <c:v>47.148201</c:v>
                </c:pt>
                <c:pt idx="60">
                  <c:v>45.903098999999997</c:v>
                </c:pt>
                <c:pt idx="61">
                  <c:v>46.432898999999999</c:v>
                </c:pt>
                <c:pt idx="62">
                  <c:v>47.474899000000001</c:v>
                </c:pt>
                <c:pt idx="63">
                  <c:v>47.389198</c:v>
                </c:pt>
                <c:pt idx="64">
                  <c:v>44.115600999999998</c:v>
                </c:pt>
                <c:pt idx="65">
                  <c:v>43.110500000000002</c:v>
                </c:pt>
                <c:pt idx="66">
                  <c:v>41.102901000000003</c:v>
                </c:pt>
                <c:pt idx="67">
                  <c:v>40.378601000000003</c:v>
                </c:pt>
                <c:pt idx="68">
                  <c:v>37.771000000000001</c:v>
                </c:pt>
                <c:pt idx="69">
                  <c:v>35.088200000000001</c:v>
                </c:pt>
                <c:pt idx="70">
                  <c:v>32.440300000000001</c:v>
                </c:pt>
                <c:pt idx="71">
                  <c:v>35.795101000000003</c:v>
                </c:pt>
                <c:pt idx="72">
                  <c:v>38.968398999999998</c:v>
                </c:pt>
                <c:pt idx="73">
                  <c:v>41.195801000000003</c:v>
                </c:pt>
                <c:pt idx="74">
                  <c:v>40.713698999999998</c:v>
                </c:pt>
                <c:pt idx="75">
                  <c:v>39.034900999999998</c:v>
                </c:pt>
                <c:pt idx="76">
                  <c:v>37.404998999999997</c:v>
                </c:pt>
                <c:pt idx="77">
                  <c:v>35.332500000000003</c:v>
                </c:pt>
                <c:pt idx="78">
                  <c:v>35.676600999999998</c:v>
                </c:pt>
                <c:pt idx="79">
                  <c:v>34.877499</c:v>
                </c:pt>
                <c:pt idx="80">
                  <c:v>34.513401000000002</c:v>
                </c:pt>
                <c:pt idx="81">
                  <c:v>31.614401000000001</c:v>
                </c:pt>
                <c:pt idx="82">
                  <c:v>29.792200000000001</c:v>
                </c:pt>
                <c:pt idx="83">
                  <c:v>27.898599999999998</c:v>
                </c:pt>
                <c:pt idx="84">
                  <c:v>27.2712</c:v>
                </c:pt>
                <c:pt idx="85">
                  <c:v>39.282600000000002</c:v>
                </c:pt>
                <c:pt idx="86">
                  <c:v>65.584900000000005</c:v>
                </c:pt>
                <c:pt idx="87">
                  <c:v>97.845802000000006</c:v>
                </c:pt>
                <c:pt idx="88">
                  <c:v>119.099</c:v>
                </c:pt>
                <c:pt idx="89">
                  <c:v>142.76600999999999</c:v>
                </c:pt>
                <c:pt idx="90">
                  <c:v>137.79400999999999</c:v>
                </c:pt>
                <c:pt idx="91">
                  <c:v>158.41</c:v>
                </c:pt>
                <c:pt idx="92">
                  <c:v>183.48199</c:v>
                </c:pt>
                <c:pt idx="93">
                  <c:v>195.54400999999999</c:v>
                </c:pt>
                <c:pt idx="94">
                  <c:v>188.80700999999999</c:v>
                </c:pt>
                <c:pt idx="95">
                  <c:v>176.97501</c:v>
                </c:pt>
                <c:pt idx="96">
                  <c:v>187.125</c:v>
                </c:pt>
                <c:pt idx="97">
                  <c:v>177.452</c:v>
                </c:pt>
                <c:pt idx="98">
                  <c:v>175.78</c:v>
                </c:pt>
                <c:pt idx="99">
                  <c:v>170.524</c:v>
                </c:pt>
                <c:pt idx="100">
                  <c:v>170.99699000000001</c:v>
                </c:pt>
                <c:pt idx="101">
                  <c:v>184.82599999999999</c:v>
                </c:pt>
                <c:pt idx="102">
                  <c:v>190.14699999999999</c:v>
                </c:pt>
                <c:pt idx="103">
                  <c:v>193.96600000000001</c:v>
                </c:pt>
                <c:pt idx="104">
                  <c:v>186.63498999999999</c:v>
                </c:pt>
                <c:pt idx="105">
                  <c:v>178.08799999999999</c:v>
                </c:pt>
                <c:pt idx="106">
                  <c:v>170.19501</c:v>
                </c:pt>
                <c:pt idx="107">
                  <c:v>158.69099</c:v>
                </c:pt>
                <c:pt idx="108">
                  <c:v>155.08099000000001</c:v>
                </c:pt>
                <c:pt idx="109">
                  <c:v>149.68401</c:v>
                </c:pt>
                <c:pt idx="110">
                  <c:v>121.059</c:v>
                </c:pt>
                <c:pt idx="111">
                  <c:v>133.68700000000001</c:v>
                </c:pt>
                <c:pt idx="112">
                  <c:v>153.20399</c:v>
                </c:pt>
                <c:pt idx="113">
                  <c:v>173.99199999999999</c:v>
                </c:pt>
                <c:pt idx="114">
                  <c:v>200.63498999999999</c:v>
                </c:pt>
                <c:pt idx="115">
                  <c:v>234.68600000000001</c:v>
                </c:pt>
                <c:pt idx="116">
                  <c:v>269.798</c:v>
                </c:pt>
                <c:pt idx="117">
                  <c:v>264.125</c:v>
                </c:pt>
                <c:pt idx="118">
                  <c:v>239.57300000000001</c:v>
                </c:pt>
                <c:pt idx="119">
                  <c:v>220.27298999999999</c:v>
                </c:pt>
                <c:pt idx="120">
                  <c:v>216.91800000000001</c:v>
                </c:pt>
                <c:pt idx="121">
                  <c:v>196.76300000000001</c:v>
                </c:pt>
                <c:pt idx="122">
                  <c:v>180.858</c:v>
                </c:pt>
                <c:pt idx="123">
                  <c:v>169.75800000000001</c:v>
                </c:pt>
                <c:pt idx="124">
                  <c:v>163.226</c:v>
                </c:pt>
                <c:pt idx="125">
                  <c:v>154.18600000000001</c:v>
                </c:pt>
                <c:pt idx="126">
                  <c:v>143.75899999999999</c:v>
                </c:pt>
                <c:pt idx="127">
                  <c:v>135.73399000000001</c:v>
                </c:pt>
                <c:pt idx="128">
                  <c:v>131.12800999999999</c:v>
                </c:pt>
                <c:pt idx="129">
                  <c:v>124.87</c:v>
                </c:pt>
                <c:pt idx="130">
                  <c:v>117.944</c:v>
                </c:pt>
                <c:pt idx="131">
                  <c:v>113.752</c:v>
                </c:pt>
                <c:pt idx="132">
                  <c:v>110.521</c:v>
                </c:pt>
                <c:pt idx="133">
                  <c:v>108.554</c:v>
                </c:pt>
                <c:pt idx="134">
                  <c:v>101.081</c:v>
                </c:pt>
                <c:pt idx="135">
                  <c:v>94.606200999999999</c:v>
                </c:pt>
                <c:pt idx="136">
                  <c:v>91.949303</c:v>
                </c:pt>
                <c:pt idx="137">
                  <c:v>89.147902999999999</c:v>
                </c:pt>
                <c:pt idx="138">
                  <c:v>88.548302000000007</c:v>
                </c:pt>
                <c:pt idx="139">
                  <c:v>82.837401999999997</c:v>
                </c:pt>
                <c:pt idx="140">
                  <c:v>73.553116000000003</c:v>
                </c:pt>
                <c:pt idx="141">
                  <c:v>68.057768999999993</c:v>
                </c:pt>
                <c:pt idx="142">
                  <c:v>65.156148000000002</c:v>
                </c:pt>
                <c:pt idx="143">
                  <c:v>58.643469000000003</c:v>
                </c:pt>
                <c:pt idx="144">
                  <c:v>56.266714999999998</c:v>
                </c:pt>
                <c:pt idx="145">
                  <c:v>51.360863000000002</c:v>
                </c:pt>
                <c:pt idx="146">
                  <c:v>51.942920999999998</c:v>
                </c:pt>
                <c:pt idx="147">
                  <c:v>52.718107000000003</c:v>
                </c:pt>
                <c:pt idx="148">
                  <c:v>51.580128000000002</c:v>
                </c:pt>
                <c:pt idx="149">
                  <c:v>47.350239999999999</c:v>
                </c:pt>
                <c:pt idx="150">
                  <c:v>43.888415999999999</c:v>
                </c:pt>
                <c:pt idx="151">
                  <c:v>44.206342999999997</c:v>
                </c:pt>
                <c:pt idx="152">
                  <c:v>42.728034000000001</c:v>
                </c:pt>
                <c:pt idx="153">
                  <c:v>41.735911000000002</c:v>
                </c:pt>
                <c:pt idx="154">
                  <c:v>41.583948999999997</c:v>
                </c:pt>
                <c:pt idx="155">
                  <c:v>40.688766000000001</c:v>
                </c:pt>
                <c:pt idx="156">
                  <c:v>41.070568000000002</c:v>
                </c:pt>
                <c:pt idx="157">
                  <c:v>41.264060999999998</c:v>
                </c:pt>
                <c:pt idx="158">
                  <c:v>35.984208000000002</c:v>
                </c:pt>
                <c:pt idx="159">
                  <c:v>30.745132999999999</c:v>
                </c:pt>
                <c:pt idx="160">
                  <c:v>27.502676000000001</c:v>
                </c:pt>
                <c:pt idx="161">
                  <c:v>27.781433</c:v>
                </c:pt>
                <c:pt idx="162">
                  <c:v>33.107695999999997</c:v>
                </c:pt>
                <c:pt idx="163">
                  <c:v>41.325539999999997</c:v>
                </c:pt>
                <c:pt idx="164">
                  <c:v>39.958069000000002</c:v>
                </c:pt>
                <c:pt idx="165">
                  <c:v>44.331057999999999</c:v>
                </c:pt>
                <c:pt idx="166">
                  <c:v>43.926355999999998</c:v>
                </c:pt>
                <c:pt idx="167">
                  <c:v>43.234462000000001</c:v>
                </c:pt>
                <c:pt idx="168">
                  <c:v>40.890478000000002</c:v>
                </c:pt>
                <c:pt idx="169">
                  <c:v>39.418793000000001</c:v>
                </c:pt>
                <c:pt idx="170">
                  <c:v>37.762948999999999</c:v>
                </c:pt>
                <c:pt idx="171">
                  <c:v>35.083618999999999</c:v>
                </c:pt>
                <c:pt idx="172">
                  <c:v>35.467381000000003</c:v>
                </c:pt>
                <c:pt idx="173">
                  <c:v>36.715954000000004</c:v>
                </c:pt>
                <c:pt idx="174">
                  <c:v>39.796869999999998</c:v>
                </c:pt>
                <c:pt idx="175">
                  <c:v>40.973782</c:v>
                </c:pt>
                <c:pt idx="176">
                  <c:v>41.924953000000002</c:v>
                </c:pt>
                <c:pt idx="177">
                  <c:v>42.956063999999998</c:v>
                </c:pt>
                <c:pt idx="178">
                  <c:v>50.663580000000003</c:v>
                </c:pt>
                <c:pt idx="179">
                  <c:v>64.568241</c:v>
                </c:pt>
                <c:pt idx="180">
                  <c:v>75.688858999999994</c:v>
                </c:pt>
                <c:pt idx="181">
                  <c:v>81.087613000000005</c:v>
                </c:pt>
                <c:pt idx="182">
                  <c:v>84.107635999999999</c:v>
                </c:pt>
                <c:pt idx="183">
                  <c:v>84.754914999999997</c:v>
                </c:pt>
                <c:pt idx="184">
                  <c:v>86.460763999999998</c:v>
                </c:pt>
                <c:pt idx="185">
                  <c:v>87.014859000000001</c:v>
                </c:pt>
                <c:pt idx="186">
                  <c:v>86.736737000000005</c:v>
                </c:pt>
                <c:pt idx="187">
                  <c:v>86.116873999999996</c:v>
                </c:pt>
                <c:pt idx="188">
                  <c:v>85.468823</c:v>
                </c:pt>
                <c:pt idx="189">
                  <c:v>84.846159</c:v>
                </c:pt>
                <c:pt idx="190">
                  <c:v>103.59625</c:v>
                </c:pt>
                <c:pt idx="191">
                  <c:v>103.78682999999999</c:v>
                </c:pt>
              </c:numCache>
            </c:numRef>
          </c:val>
          <c:smooth val="0"/>
          <c:extLst>
            <c:ext xmlns:c16="http://schemas.microsoft.com/office/drawing/2014/chart" uri="{C3380CC4-5D6E-409C-BE32-E72D297353CC}">
              <c16:uniqueId val="{00000001-B46E-4F11-8E55-415377E027F0}"/>
            </c:ext>
          </c:extLst>
        </c:ser>
        <c:dLbls>
          <c:showLegendKey val="0"/>
          <c:showVal val="0"/>
          <c:showCatName val="0"/>
          <c:showSerName val="0"/>
          <c:showPercent val="0"/>
          <c:showBubbleSize val="0"/>
        </c:dLbls>
        <c:marker val="1"/>
        <c:smooth val="0"/>
        <c:axId val="2111592671"/>
        <c:axId val="2111593087"/>
      </c:lineChart>
      <c:lineChart>
        <c:grouping val="standard"/>
        <c:varyColors val="0"/>
        <c:ser>
          <c:idx val="0"/>
          <c:order val="0"/>
          <c:tx>
            <c:strRef>
              <c:f>'Figure 2.4.1.'!$W$31</c:f>
              <c:strCache>
                <c:ptCount val="1"/>
                <c:pt idx="0">
                  <c:v>Revenue 
(right scale)</c:v>
                </c:pt>
              </c:strCache>
            </c:strRef>
          </c:tx>
          <c:spPr>
            <a:ln w="19050" cap="rnd">
              <a:solidFill>
                <a:schemeClr val="accent6">
                  <a:lumMod val="75000"/>
                </a:schemeClr>
              </a:solidFill>
              <a:prstDash val="lgDash"/>
              <a:round/>
            </a:ln>
            <a:effectLst/>
          </c:spPr>
          <c:marker>
            <c:symbol val="none"/>
          </c:marker>
          <c:cat>
            <c:numRef>
              <c:f>'Figure 2.4.1.'!$U$32:$U$223</c:f>
              <c:numCache>
                <c:formatCode>General</c:formatCode>
                <c:ptCount val="192"/>
                <c:pt idx="0">
                  <c:v>1830</c:v>
                </c:pt>
                <c:pt idx="1">
                  <c:v>1831</c:v>
                </c:pt>
                <c:pt idx="2">
                  <c:v>1832</c:v>
                </c:pt>
                <c:pt idx="3">
                  <c:v>1833</c:v>
                </c:pt>
                <c:pt idx="4">
                  <c:v>1834</c:v>
                </c:pt>
                <c:pt idx="5">
                  <c:v>1835</c:v>
                </c:pt>
                <c:pt idx="6">
                  <c:v>1836</c:v>
                </c:pt>
                <c:pt idx="7">
                  <c:v>1837</c:v>
                </c:pt>
                <c:pt idx="8">
                  <c:v>1838</c:v>
                </c:pt>
                <c:pt idx="9">
                  <c:v>1839</c:v>
                </c:pt>
                <c:pt idx="10">
                  <c:v>40</c:v>
                </c:pt>
                <c:pt idx="11">
                  <c:v>1841</c:v>
                </c:pt>
                <c:pt idx="12">
                  <c:v>1842</c:v>
                </c:pt>
                <c:pt idx="13">
                  <c:v>1843</c:v>
                </c:pt>
                <c:pt idx="14">
                  <c:v>1844</c:v>
                </c:pt>
                <c:pt idx="15">
                  <c:v>1845</c:v>
                </c:pt>
                <c:pt idx="16">
                  <c:v>1846</c:v>
                </c:pt>
                <c:pt idx="17">
                  <c:v>1847</c:v>
                </c:pt>
                <c:pt idx="18">
                  <c:v>1848</c:v>
                </c:pt>
                <c:pt idx="19">
                  <c:v>1849</c:v>
                </c:pt>
                <c:pt idx="20">
                  <c:v>50</c:v>
                </c:pt>
                <c:pt idx="21">
                  <c:v>1851</c:v>
                </c:pt>
                <c:pt idx="22">
                  <c:v>1852</c:v>
                </c:pt>
                <c:pt idx="23">
                  <c:v>1853</c:v>
                </c:pt>
                <c:pt idx="24">
                  <c:v>1854</c:v>
                </c:pt>
                <c:pt idx="25">
                  <c:v>1855</c:v>
                </c:pt>
                <c:pt idx="26">
                  <c:v>1856</c:v>
                </c:pt>
                <c:pt idx="27">
                  <c:v>1857</c:v>
                </c:pt>
                <c:pt idx="28">
                  <c:v>1858</c:v>
                </c:pt>
                <c:pt idx="29">
                  <c:v>1859</c:v>
                </c:pt>
                <c:pt idx="30">
                  <c:v>60</c:v>
                </c:pt>
                <c:pt idx="31">
                  <c:v>1861</c:v>
                </c:pt>
                <c:pt idx="32">
                  <c:v>1862</c:v>
                </c:pt>
                <c:pt idx="33">
                  <c:v>1863</c:v>
                </c:pt>
                <c:pt idx="34">
                  <c:v>1864</c:v>
                </c:pt>
                <c:pt idx="35">
                  <c:v>1865</c:v>
                </c:pt>
                <c:pt idx="36">
                  <c:v>1866</c:v>
                </c:pt>
                <c:pt idx="37">
                  <c:v>1867</c:v>
                </c:pt>
                <c:pt idx="38">
                  <c:v>1868</c:v>
                </c:pt>
                <c:pt idx="39">
                  <c:v>1869</c:v>
                </c:pt>
                <c:pt idx="40">
                  <c:v>70</c:v>
                </c:pt>
                <c:pt idx="41">
                  <c:v>1871</c:v>
                </c:pt>
                <c:pt idx="42">
                  <c:v>1872</c:v>
                </c:pt>
                <c:pt idx="43">
                  <c:v>1873</c:v>
                </c:pt>
                <c:pt idx="44">
                  <c:v>1874</c:v>
                </c:pt>
                <c:pt idx="45">
                  <c:v>1875</c:v>
                </c:pt>
                <c:pt idx="46">
                  <c:v>1876</c:v>
                </c:pt>
                <c:pt idx="47">
                  <c:v>1877</c:v>
                </c:pt>
                <c:pt idx="48">
                  <c:v>1878</c:v>
                </c:pt>
                <c:pt idx="49">
                  <c:v>1879</c:v>
                </c:pt>
                <c:pt idx="50">
                  <c:v>80</c:v>
                </c:pt>
                <c:pt idx="51">
                  <c:v>1881</c:v>
                </c:pt>
                <c:pt idx="52">
                  <c:v>1882</c:v>
                </c:pt>
                <c:pt idx="53">
                  <c:v>1883</c:v>
                </c:pt>
                <c:pt idx="54">
                  <c:v>1884</c:v>
                </c:pt>
                <c:pt idx="55">
                  <c:v>1885</c:v>
                </c:pt>
                <c:pt idx="56">
                  <c:v>1886</c:v>
                </c:pt>
                <c:pt idx="57">
                  <c:v>1887</c:v>
                </c:pt>
                <c:pt idx="58">
                  <c:v>1888</c:v>
                </c:pt>
                <c:pt idx="59">
                  <c:v>1889</c:v>
                </c:pt>
                <c:pt idx="60">
                  <c:v>90</c:v>
                </c:pt>
                <c:pt idx="61">
                  <c:v>1891</c:v>
                </c:pt>
                <c:pt idx="62">
                  <c:v>1892</c:v>
                </c:pt>
                <c:pt idx="63">
                  <c:v>1893</c:v>
                </c:pt>
                <c:pt idx="64">
                  <c:v>1894</c:v>
                </c:pt>
                <c:pt idx="65">
                  <c:v>1895</c:v>
                </c:pt>
                <c:pt idx="66">
                  <c:v>1896</c:v>
                </c:pt>
                <c:pt idx="67">
                  <c:v>1897</c:v>
                </c:pt>
                <c:pt idx="68">
                  <c:v>1898</c:v>
                </c:pt>
                <c:pt idx="69">
                  <c:v>1899</c:v>
                </c:pt>
                <c:pt idx="70">
                  <c:v>1900</c:v>
                </c:pt>
                <c:pt idx="71">
                  <c:v>1901</c:v>
                </c:pt>
                <c:pt idx="72">
                  <c:v>1902</c:v>
                </c:pt>
                <c:pt idx="73">
                  <c:v>1903</c:v>
                </c:pt>
                <c:pt idx="74">
                  <c:v>1904</c:v>
                </c:pt>
                <c:pt idx="75">
                  <c:v>1905</c:v>
                </c:pt>
                <c:pt idx="76">
                  <c:v>1906</c:v>
                </c:pt>
                <c:pt idx="77">
                  <c:v>1907</c:v>
                </c:pt>
                <c:pt idx="78">
                  <c:v>1908</c:v>
                </c:pt>
                <c:pt idx="79">
                  <c:v>1909</c:v>
                </c:pt>
                <c:pt idx="80">
                  <c:v>10</c:v>
                </c:pt>
                <c:pt idx="81">
                  <c:v>1911</c:v>
                </c:pt>
                <c:pt idx="82">
                  <c:v>1912</c:v>
                </c:pt>
                <c:pt idx="83">
                  <c:v>1913</c:v>
                </c:pt>
                <c:pt idx="84">
                  <c:v>1914</c:v>
                </c:pt>
                <c:pt idx="85">
                  <c:v>1915</c:v>
                </c:pt>
                <c:pt idx="86">
                  <c:v>1916</c:v>
                </c:pt>
                <c:pt idx="87">
                  <c:v>1917</c:v>
                </c:pt>
                <c:pt idx="88">
                  <c:v>1918</c:v>
                </c:pt>
                <c:pt idx="89">
                  <c:v>1919</c:v>
                </c:pt>
                <c:pt idx="90">
                  <c:v>20</c:v>
                </c:pt>
                <c:pt idx="91">
                  <c:v>1921</c:v>
                </c:pt>
                <c:pt idx="92">
                  <c:v>1922</c:v>
                </c:pt>
                <c:pt idx="93">
                  <c:v>1923</c:v>
                </c:pt>
                <c:pt idx="94">
                  <c:v>1924</c:v>
                </c:pt>
                <c:pt idx="95">
                  <c:v>1925</c:v>
                </c:pt>
                <c:pt idx="96">
                  <c:v>1926</c:v>
                </c:pt>
                <c:pt idx="97">
                  <c:v>1927</c:v>
                </c:pt>
                <c:pt idx="98">
                  <c:v>1928</c:v>
                </c:pt>
                <c:pt idx="99">
                  <c:v>1929</c:v>
                </c:pt>
                <c:pt idx="100">
                  <c:v>30</c:v>
                </c:pt>
                <c:pt idx="101">
                  <c:v>1931</c:v>
                </c:pt>
                <c:pt idx="102">
                  <c:v>1932</c:v>
                </c:pt>
                <c:pt idx="103">
                  <c:v>1933</c:v>
                </c:pt>
                <c:pt idx="104">
                  <c:v>1934</c:v>
                </c:pt>
                <c:pt idx="105">
                  <c:v>1935</c:v>
                </c:pt>
                <c:pt idx="106">
                  <c:v>1936</c:v>
                </c:pt>
                <c:pt idx="107">
                  <c:v>1937</c:v>
                </c:pt>
                <c:pt idx="108">
                  <c:v>1938</c:v>
                </c:pt>
                <c:pt idx="109">
                  <c:v>1939</c:v>
                </c:pt>
                <c:pt idx="110">
                  <c:v>40</c:v>
                </c:pt>
                <c:pt idx="111">
                  <c:v>1941</c:v>
                </c:pt>
                <c:pt idx="112">
                  <c:v>1942</c:v>
                </c:pt>
                <c:pt idx="113">
                  <c:v>1943</c:v>
                </c:pt>
                <c:pt idx="114">
                  <c:v>1944</c:v>
                </c:pt>
                <c:pt idx="115">
                  <c:v>1945</c:v>
                </c:pt>
                <c:pt idx="116">
                  <c:v>1946</c:v>
                </c:pt>
                <c:pt idx="117">
                  <c:v>1947</c:v>
                </c:pt>
                <c:pt idx="118">
                  <c:v>1948</c:v>
                </c:pt>
                <c:pt idx="119">
                  <c:v>1949</c:v>
                </c:pt>
                <c:pt idx="120">
                  <c:v>50</c:v>
                </c:pt>
                <c:pt idx="121">
                  <c:v>1951</c:v>
                </c:pt>
                <c:pt idx="122">
                  <c:v>1952</c:v>
                </c:pt>
                <c:pt idx="123">
                  <c:v>1953</c:v>
                </c:pt>
                <c:pt idx="124">
                  <c:v>1954</c:v>
                </c:pt>
                <c:pt idx="125">
                  <c:v>1955</c:v>
                </c:pt>
                <c:pt idx="126">
                  <c:v>1956</c:v>
                </c:pt>
                <c:pt idx="127">
                  <c:v>1957</c:v>
                </c:pt>
                <c:pt idx="128">
                  <c:v>1958</c:v>
                </c:pt>
                <c:pt idx="129">
                  <c:v>1959</c:v>
                </c:pt>
                <c:pt idx="130">
                  <c:v>60</c:v>
                </c:pt>
                <c:pt idx="131">
                  <c:v>1961</c:v>
                </c:pt>
                <c:pt idx="132">
                  <c:v>1962</c:v>
                </c:pt>
                <c:pt idx="133">
                  <c:v>1963</c:v>
                </c:pt>
                <c:pt idx="134">
                  <c:v>1964</c:v>
                </c:pt>
                <c:pt idx="135">
                  <c:v>1965</c:v>
                </c:pt>
                <c:pt idx="136">
                  <c:v>1966</c:v>
                </c:pt>
                <c:pt idx="137">
                  <c:v>1967</c:v>
                </c:pt>
                <c:pt idx="138">
                  <c:v>1968</c:v>
                </c:pt>
                <c:pt idx="139">
                  <c:v>1969</c:v>
                </c:pt>
                <c:pt idx="140">
                  <c:v>70</c:v>
                </c:pt>
                <c:pt idx="141">
                  <c:v>1971</c:v>
                </c:pt>
                <c:pt idx="142">
                  <c:v>1972</c:v>
                </c:pt>
                <c:pt idx="143">
                  <c:v>1973</c:v>
                </c:pt>
                <c:pt idx="144">
                  <c:v>1974</c:v>
                </c:pt>
                <c:pt idx="145">
                  <c:v>1975</c:v>
                </c:pt>
                <c:pt idx="146">
                  <c:v>1976</c:v>
                </c:pt>
                <c:pt idx="147">
                  <c:v>1977</c:v>
                </c:pt>
                <c:pt idx="148">
                  <c:v>1978</c:v>
                </c:pt>
                <c:pt idx="149">
                  <c:v>1979</c:v>
                </c:pt>
                <c:pt idx="150">
                  <c:v>80</c:v>
                </c:pt>
                <c:pt idx="151">
                  <c:v>1981</c:v>
                </c:pt>
                <c:pt idx="152">
                  <c:v>1982</c:v>
                </c:pt>
                <c:pt idx="153">
                  <c:v>1983</c:v>
                </c:pt>
                <c:pt idx="154">
                  <c:v>1984</c:v>
                </c:pt>
                <c:pt idx="155">
                  <c:v>1985</c:v>
                </c:pt>
                <c:pt idx="156">
                  <c:v>1986</c:v>
                </c:pt>
                <c:pt idx="157">
                  <c:v>1987</c:v>
                </c:pt>
                <c:pt idx="158">
                  <c:v>1988</c:v>
                </c:pt>
                <c:pt idx="159">
                  <c:v>1989</c:v>
                </c:pt>
                <c:pt idx="160">
                  <c:v>90</c:v>
                </c:pt>
                <c:pt idx="161">
                  <c:v>1991</c:v>
                </c:pt>
                <c:pt idx="162">
                  <c:v>1992</c:v>
                </c:pt>
                <c:pt idx="163">
                  <c:v>1993</c:v>
                </c:pt>
                <c:pt idx="164">
                  <c:v>1994</c:v>
                </c:pt>
                <c:pt idx="165">
                  <c:v>1995</c:v>
                </c:pt>
                <c:pt idx="166">
                  <c:v>1996</c:v>
                </c:pt>
                <c:pt idx="167">
                  <c:v>1997</c:v>
                </c:pt>
                <c:pt idx="168">
                  <c:v>1998</c:v>
                </c:pt>
                <c:pt idx="169">
                  <c:v>1999</c:v>
                </c:pt>
                <c:pt idx="170">
                  <c:v>2000</c:v>
                </c:pt>
                <c:pt idx="171">
                  <c:v>2001</c:v>
                </c:pt>
                <c:pt idx="172">
                  <c:v>2002</c:v>
                </c:pt>
                <c:pt idx="173">
                  <c:v>2003</c:v>
                </c:pt>
                <c:pt idx="174">
                  <c:v>2004</c:v>
                </c:pt>
                <c:pt idx="175">
                  <c:v>2005</c:v>
                </c:pt>
                <c:pt idx="176">
                  <c:v>2006</c:v>
                </c:pt>
                <c:pt idx="177">
                  <c:v>2007</c:v>
                </c:pt>
                <c:pt idx="178">
                  <c:v>2008</c:v>
                </c:pt>
                <c:pt idx="179">
                  <c:v>2009</c:v>
                </c:pt>
                <c:pt idx="180">
                  <c:v>10</c:v>
                </c:pt>
                <c:pt idx="181">
                  <c:v>2011</c:v>
                </c:pt>
                <c:pt idx="182">
                  <c:v>2012</c:v>
                </c:pt>
                <c:pt idx="183">
                  <c:v>2013</c:v>
                </c:pt>
                <c:pt idx="184">
                  <c:v>2014</c:v>
                </c:pt>
                <c:pt idx="185">
                  <c:v>2015</c:v>
                </c:pt>
                <c:pt idx="186">
                  <c:v>2016</c:v>
                </c:pt>
                <c:pt idx="187">
                  <c:v>2017</c:v>
                </c:pt>
                <c:pt idx="188">
                  <c:v>2018</c:v>
                </c:pt>
                <c:pt idx="189">
                  <c:v>2019</c:v>
                </c:pt>
                <c:pt idx="190">
                  <c:v>20</c:v>
                </c:pt>
                <c:pt idx="191">
                  <c:v>2021</c:v>
                </c:pt>
              </c:numCache>
            </c:numRef>
          </c:cat>
          <c:val>
            <c:numRef>
              <c:f>'Figure 2.4.1.'!$W$32:$W$223</c:f>
              <c:numCache>
                <c:formatCode>0</c:formatCode>
                <c:ptCount val="192"/>
                <c:pt idx="0">
                  <c:v>12.283899999999999</c:v>
                </c:pt>
                <c:pt idx="1">
                  <c:v>11.5411</c:v>
                </c:pt>
                <c:pt idx="2">
                  <c:v>12.1806</c:v>
                </c:pt>
                <c:pt idx="3">
                  <c:v>12.135899999999999</c:v>
                </c:pt>
                <c:pt idx="4">
                  <c:v>11.358499999999999</c:v>
                </c:pt>
                <c:pt idx="5">
                  <c:v>10.6157</c:v>
                </c:pt>
                <c:pt idx="6">
                  <c:v>10.4413</c:v>
                </c:pt>
                <c:pt idx="7">
                  <c:v>10.3263</c:v>
                </c:pt>
                <c:pt idx="8">
                  <c:v>9.8171301</c:v>
                </c:pt>
                <c:pt idx="9">
                  <c:v>9.4648705</c:v>
                </c:pt>
                <c:pt idx="10">
                  <c:v>10.1981</c:v>
                </c:pt>
                <c:pt idx="11">
                  <c:v>10.8041</c:v>
                </c:pt>
                <c:pt idx="12">
                  <c:v>11.103899999999999</c:v>
                </c:pt>
                <c:pt idx="13">
                  <c:v>12.426399999999999</c:v>
                </c:pt>
                <c:pt idx="14">
                  <c:v>11.464700000000001</c:v>
                </c:pt>
                <c:pt idx="15">
                  <c:v>10.6165</c:v>
                </c:pt>
                <c:pt idx="16">
                  <c:v>9.9982796</c:v>
                </c:pt>
                <c:pt idx="17">
                  <c:v>3.6447999000000002</c:v>
                </c:pt>
                <c:pt idx="18">
                  <c:v>10.0052</c:v>
                </c:pt>
                <c:pt idx="19">
                  <c:v>9.6988296999999992</c:v>
                </c:pt>
                <c:pt idx="20">
                  <c:v>10.668200000000001</c:v>
                </c:pt>
                <c:pt idx="21">
                  <c:v>9.9097500000000007</c:v>
                </c:pt>
                <c:pt idx="22">
                  <c:v>9.9650402000000007</c:v>
                </c:pt>
                <c:pt idx="23">
                  <c:v>9.9291</c:v>
                </c:pt>
                <c:pt idx="24">
                  <c:v>10.0154</c:v>
                </c:pt>
                <c:pt idx="25">
                  <c:v>10.853999999999999</c:v>
                </c:pt>
                <c:pt idx="26">
                  <c:v>10.7163</c:v>
                </c:pt>
                <c:pt idx="27">
                  <c:v>10.031700000000001</c:v>
                </c:pt>
                <c:pt idx="28">
                  <c:v>9.8930501999999994</c:v>
                </c:pt>
                <c:pt idx="29">
                  <c:v>10.176600000000001</c:v>
                </c:pt>
                <c:pt idx="30">
                  <c:v>10.031000000000001</c:v>
                </c:pt>
                <c:pt idx="31">
                  <c:v>9.2896996000000005</c:v>
                </c:pt>
                <c:pt idx="32">
                  <c:v>9.1422395999999999</c:v>
                </c:pt>
                <c:pt idx="33">
                  <c:v>8.5355501</c:v>
                </c:pt>
                <c:pt idx="34">
                  <c:v>8.2673903000000006</c:v>
                </c:pt>
                <c:pt idx="35">
                  <c:v>7.5988898000000002</c:v>
                </c:pt>
                <c:pt idx="36">
                  <c:v>7.5597900999999998</c:v>
                </c:pt>
                <c:pt idx="37">
                  <c:v>7.6618298999999999</c:v>
                </c:pt>
                <c:pt idx="38">
                  <c:v>8.0088595999999992</c:v>
                </c:pt>
                <c:pt idx="39">
                  <c:v>8.1904696999999995</c:v>
                </c:pt>
                <c:pt idx="40">
                  <c:v>7.0292801999999996</c:v>
                </c:pt>
                <c:pt idx="41">
                  <c:v>7.0923400000000001</c:v>
                </c:pt>
                <c:pt idx="42">
                  <c:v>6.8607702000000002</c:v>
                </c:pt>
                <c:pt idx="43">
                  <c:v>6.3343501</c:v>
                </c:pt>
                <c:pt idx="44">
                  <c:v>6.4120898000000004</c:v>
                </c:pt>
                <c:pt idx="45">
                  <c:v>6.6306601000000001</c:v>
                </c:pt>
                <c:pt idx="46">
                  <c:v>6.9485302000000004</c:v>
                </c:pt>
                <c:pt idx="47">
                  <c:v>7.0642300000000002</c:v>
                </c:pt>
                <c:pt idx="48">
                  <c:v>7.4710302000000004</c:v>
                </c:pt>
                <c:pt idx="49">
                  <c:v>6.9772901999999997</c:v>
                </c:pt>
                <c:pt idx="50">
                  <c:v>6.3145699999999998</c:v>
                </c:pt>
                <c:pt idx="51">
                  <c:v>6.8739800000000004</c:v>
                </c:pt>
                <c:pt idx="52">
                  <c:v>7.0257201</c:v>
                </c:pt>
                <c:pt idx="53">
                  <c:v>6.5551300000000001</c:v>
                </c:pt>
                <c:pt idx="54">
                  <c:v>6.8376098000000001</c:v>
                </c:pt>
                <c:pt idx="55">
                  <c:v>7.2964200999999997</c:v>
                </c:pt>
                <c:pt idx="56">
                  <c:v>7.3941397999999996</c:v>
                </c:pt>
                <c:pt idx="57">
                  <c:v>7.1156902000000004</c:v>
                </c:pt>
                <c:pt idx="58">
                  <c:v>7.0676097999999996</c:v>
                </c:pt>
                <c:pt idx="59">
                  <c:v>7.1127801000000002</c:v>
                </c:pt>
                <c:pt idx="60">
                  <c:v>7.02841</c:v>
                </c:pt>
                <c:pt idx="61">
                  <c:v>7.0478902000000003</c:v>
                </c:pt>
                <c:pt idx="62">
                  <c:v>7.0186801000000001</c:v>
                </c:pt>
                <c:pt idx="63">
                  <c:v>7.2512898000000003</c:v>
                </c:pt>
                <c:pt idx="64">
                  <c:v>7.0990200000000003</c:v>
                </c:pt>
                <c:pt idx="65">
                  <c:v>7.6025</c:v>
                </c:pt>
                <c:pt idx="66">
                  <c:v>7.3881601999999997</c:v>
                </c:pt>
                <c:pt idx="67">
                  <c:v>7.7091599000000004</c:v>
                </c:pt>
                <c:pt idx="68">
                  <c:v>7.2957901999999999</c:v>
                </c:pt>
                <c:pt idx="69">
                  <c:v>7.4228601000000003</c:v>
                </c:pt>
                <c:pt idx="70">
                  <c:v>7.81494</c:v>
                </c:pt>
                <c:pt idx="71">
                  <c:v>7.9822302000000001</c:v>
                </c:pt>
                <c:pt idx="72">
                  <c:v>8.7001103999999998</c:v>
                </c:pt>
                <c:pt idx="73">
                  <c:v>8.2138995999999995</c:v>
                </c:pt>
                <c:pt idx="74">
                  <c:v>8.1663102999999992</c:v>
                </c:pt>
                <c:pt idx="75">
                  <c:v>7.9493799000000003</c:v>
                </c:pt>
                <c:pt idx="76">
                  <c:v>7.9202899999999996</c:v>
                </c:pt>
                <c:pt idx="77">
                  <c:v>7.8367500000000003</c:v>
                </c:pt>
                <c:pt idx="78">
                  <c:v>7.6681800000000004</c:v>
                </c:pt>
                <c:pt idx="79">
                  <c:v>6.5489801999999999</c:v>
                </c:pt>
                <c:pt idx="80">
                  <c:v>9.9366503000000002</c:v>
                </c:pt>
                <c:pt idx="81">
                  <c:v>8.5575600000000005</c:v>
                </c:pt>
                <c:pt idx="82">
                  <c:v>8.5584802999999994</c:v>
                </c:pt>
                <c:pt idx="83">
                  <c:v>8.4197102000000008</c:v>
                </c:pt>
                <c:pt idx="84">
                  <c:v>9.9815397000000008</c:v>
                </c:pt>
                <c:pt idx="85">
                  <c:v>12.292899999999999</c:v>
                </c:pt>
                <c:pt idx="86">
                  <c:v>17.835899000000001</c:v>
                </c:pt>
                <c:pt idx="87">
                  <c:v>17.3489</c:v>
                </c:pt>
                <c:pt idx="88">
                  <c:v>18.099299999999999</c:v>
                </c:pt>
                <c:pt idx="89">
                  <c:v>25.802401</c:v>
                </c:pt>
                <c:pt idx="90">
                  <c:v>25.160900000000002</c:v>
                </c:pt>
                <c:pt idx="91">
                  <c:v>23.583200000000001</c:v>
                </c:pt>
                <c:pt idx="92">
                  <c:v>21.956099999999999</c:v>
                </c:pt>
                <c:pt idx="93">
                  <c:v>21.177199999999999</c:v>
                </c:pt>
                <c:pt idx="94">
                  <c:v>19.777699999999999</c:v>
                </c:pt>
                <c:pt idx="95">
                  <c:v>18.946199</c:v>
                </c:pt>
                <c:pt idx="96">
                  <c:v>19.987100999999999</c:v>
                </c:pt>
                <c:pt idx="97">
                  <c:v>19.833500000000001</c:v>
                </c:pt>
                <c:pt idx="98">
                  <c:v>19.553801</c:v>
                </c:pt>
                <c:pt idx="99">
                  <c:v>18.560499</c:v>
                </c:pt>
                <c:pt idx="100">
                  <c:v>19.6751</c:v>
                </c:pt>
                <c:pt idx="101">
                  <c:v>21.251301000000002</c:v>
                </c:pt>
                <c:pt idx="102">
                  <c:v>21.186700999999999</c:v>
                </c:pt>
                <c:pt idx="103">
                  <c:v>20.5609</c:v>
                </c:pt>
                <c:pt idx="104">
                  <c:v>19.236601</c:v>
                </c:pt>
                <c:pt idx="105">
                  <c:v>19.3216</c:v>
                </c:pt>
                <c:pt idx="106">
                  <c:v>19.613399999999999</c:v>
                </c:pt>
                <c:pt idx="107">
                  <c:v>19.3444</c:v>
                </c:pt>
                <c:pt idx="108">
                  <c:v>19.468399000000002</c:v>
                </c:pt>
                <c:pt idx="109">
                  <c:v>17.322001</c:v>
                </c:pt>
                <c:pt idx="110">
                  <c:v>16.280199</c:v>
                </c:pt>
                <c:pt idx="111">
                  <c:v>18.568501000000001</c:v>
                </c:pt>
                <c:pt idx="112">
                  <c:v>25.053899999999999</c:v>
                </c:pt>
                <c:pt idx="113">
                  <c:v>28.957599999999999</c:v>
                </c:pt>
                <c:pt idx="114">
                  <c:v>33.256698999999998</c:v>
                </c:pt>
                <c:pt idx="115">
                  <c:v>35.9953</c:v>
                </c:pt>
                <c:pt idx="116">
                  <c:v>38.247101000000001</c:v>
                </c:pt>
                <c:pt idx="117">
                  <c:v>34.728000999999999</c:v>
                </c:pt>
                <c:pt idx="118">
                  <c:v>36.268101000000001</c:v>
                </c:pt>
                <c:pt idx="119">
                  <c:v>35.613799999999998</c:v>
                </c:pt>
                <c:pt idx="120">
                  <c:v>33.494801000000002</c:v>
                </c:pt>
                <c:pt idx="121">
                  <c:v>30.7852</c:v>
                </c:pt>
                <c:pt idx="122">
                  <c:v>31.608801</c:v>
                </c:pt>
                <c:pt idx="123">
                  <c:v>29.797899000000001</c:v>
                </c:pt>
                <c:pt idx="124">
                  <c:v>32.821399999999997</c:v>
                </c:pt>
                <c:pt idx="125">
                  <c:v>28.2286</c:v>
                </c:pt>
                <c:pt idx="126">
                  <c:v>31.572800000000001</c:v>
                </c:pt>
                <c:pt idx="127">
                  <c:v>31.578699</c:v>
                </c:pt>
                <c:pt idx="128">
                  <c:v>32.109797999999998</c:v>
                </c:pt>
                <c:pt idx="129">
                  <c:v>32.031399</c:v>
                </c:pt>
                <c:pt idx="130">
                  <c:v>30.383699</c:v>
                </c:pt>
                <c:pt idx="131">
                  <c:v>32.043201000000003</c:v>
                </c:pt>
                <c:pt idx="132">
                  <c:v>33.299900000000001</c:v>
                </c:pt>
                <c:pt idx="133">
                  <c:v>31.954599000000002</c:v>
                </c:pt>
                <c:pt idx="134">
                  <c:v>31.0242</c:v>
                </c:pt>
                <c:pt idx="135">
                  <c:v>32.511699999999998</c:v>
                </c:pt>
                <c:pt idx="136">
                  <c:v>34.1325</c:v>
                </c:pt>
                <c:pt idx="137">
                  <c:v>35.504798999999998</c:v>
                </c:pt>
                <c:pt idx="138">
                  <c:v>38.046199999999999</c:v>
                </c:pt>
                <c:pt idx="139">
                  <c:v>40.241298999999998</c:v>
                </c:pt>
                <c:pt idx="140">
                  <c:v>44.607399000000001</c:v>
                </c:pt>
                <c:pt idx="141">
                  <c:v>42.672798</c:v>
                </c:pt>
                <c:pt idx="142">
                  <c:v>40.619202000000001</c:v>
                </c:pt>
                <c:pt idx="143">
                  <c:v>39.2164</c:v>
                </c:pt>
                <c:pt idx="144">
                  <c:v>43.720599999999997</c:v>
                </c:pt>
                <c:pt idx="145">
                  <c:v>43.998199</c:v>
                </c:pt>
                <c:pt idx="146">
                  <c:v>43.599899000000001</c:v>
                </c:pt>
                <c:pt idx="147">
                  <c:v>42.358199999999997</c:v>
                </c:pt>
                <c:pt idx="148">
                  <c:v>39.534599</c:v>
                </c:pt>
                <c:pt idx="149">
                  <c:v>39.345298999999997</c:v>
                </c:pt>
                <c:pt idx="150">
                  <c:v>41.980400000000003</c:v>
                </c:pt>
                <c:pt idx="151">
                  <c:v>44.165999999999997</c:v>
                </c:pt>
                <c:pt idx="152">
                  <c:v>45.092700999999998</c:v>
                </c:pt>
                <c:pt idx="153">
                  <c:v>44.116599999999998</c:v>
                </c:pt>
                <c:pt idx="154">
                  <c:v>43.887099999999997</c:v>
                </c:pt>
                <c:pt idx="155">
                  <c:v>43.123900999999996</c:v>
                </c:pt>
                <c:pt idx="156">
                  <c:v>42.076400999999997</c:v>
                </c:pt>
                <c:pt idx="157">
                  <c:v>40.882098999999997</c:v>
                </c:pt>
                <c:pt idx="158">
                  <c:v>40.728099999999998</c:v>
                </c:pt>
                <c:pt idx="159">
                  <c:v>40.446998999999998</c:v>
                </c:pt>
                <c:pt idx="160">
                  <c:v>39.307301000000002</c:v>
                </c:pt>
                <c:pt idx="161">
                  <c:v>39.617198999999999</c:v>
                </c:pt>
                <c:pt idx="162">
                  <c:v>38.493800999999998</c:v>
                </c:pt>
                <c:pt idx="163">
                  <c:v>37.074199999999998</c:v>
                </c:pt>
                <c:pt idx="164">
                  <c:v>37.577399999999997</c:v>
                </c:pt>
                <c:pt idx="165">
                  <c:v>37.987099000000001</c:v>
                </c:pt>
                <c:pt idx="166">
                  <c:v>38.0154</c:v>
                </c:pt>
                <c:pt idx="167">
                  <c:v>38.338799000000002</c:v>
                </c:pt>
                <c:pt idx="168">
                  <c:v>39.360698999999997</c:v>
                </c:pt>
                <c:pt idx="169">
                  <c:v>39.793598000000003</c:v>
                </c:pt>
                <c:pt idx="170">
                  <c:v>40.353298000000002</c:v>
                </c:pt>
                <c:pt idx="171">
                  <c:v>40.650798999999999</c:v>
                </c:pt>
                <c:pt idx="172">
                  <c:v>39.023997999999999</c:v>
                </c:pt>
                <c:pt idx="173">
                  <c:v>38.720500999999999</c:v>
                </c:pt>
                <c:pt idx="174">
                  <c:v>39.492699000000002</c:v>
                </c:pt>
                <c:pt idx="175">
                  <c:v>40.671799</c:v>
                </c:pt>
                <c:pt idx="176">
                  <c:v>41.454200999999998</c:v>
                </c:pt>
                <c:pt idx="177">
                  <c:v>41.142600999999999</c:v>
                </c:pt>
                <c:pt idx="178">
                  <c:v>42.853198999999996</c:v>
                </c:pt>
                <c:pt idx="179">
                  <c:v>40.0625</c:v>
                </c:pt>
                <c:pt idx="180">
                  <c:v>40.281300000000002</c:v>
                </c:pt>
                <c:pt idx="181">
                  <c:v>35.955781000000002</c:v>
                </c:pt>
                <c:pt idx="182">
                  <c:v>35.908107000000001</c:v>
                </c:pt>
                <c:pt idx="183">
                  <c:v>36.233566000000003</c:v>
                </c:pt>
                <c:pt idx="184">
                  <c:v>35.411333999999997</c:v>
                </c:pt>
                <c:pt idx="185">
                  <c:v>35.485982999999997</c:v>
                </c:pt>
                <c:pt idx="186">
                  <c:v>35.871783000000001</c:v>
                </c:pt>
                <c:pt idx="187">
                  <c:v>36.430610999999999</c:v>
                </c:pt>
                <c:pt idx="188">
                  <c:v>36.279398999999998</c:v>
                </c:pt>
                <c:pt idx="189">
                  <c:v>36.038314999999997</c:v>
                </c:pt>
                <c:pt idx="190">
                  <c:v>36.160429000000001</c:v>
                </c:pt>
                <c:pt idx="191">
                  <c:v>36.888300000000001</c:v>
                </c:pt>
              </c:numCache>
            </c:numRef>
          </c:val>
          <c:smooth val="0"/>
          <c:extLst>
            <c:ext xmlns:c16="http://schemas.microsoft.com/office/drawing/2014/chart" uri="{C3380CC4-5D6E-409C-BE32-E72D297353CC}">
              <c16:uniqueId val="{00000002-B46E-4F11-8E55-415377E027F0}"/>
            </c:ext>
          </c:extLst>
        </c:ser>
        <c:ser>
          <c:idx val="1"/>
          <c:order val="1"/>
          <c:tx>
            <c:strRef>
              <c:f>'Figure 2.4.1.'!$Z$31</c:f>
              <c:strCache>
                <c:ptCount val="1"/>
                <c:pt idx="0">
                  <c:v>Primary expenditure 
(right scale)</c:v>
                </c:pt>
              </c:strCache>
            </c:strRef>
          </c:tx>
          <c:spPr>
            <a:ln w="19050" cap="rnd">
              <a:solidFill>
                <a:schemeClr val="accent2"/>
              </a:solidFill>
              <a:prstDash val="sysDash"/>
              <a:round/>
            </a:ln>
            <a:effectLst/>
          </c:spPr>
          <c:marker>
            <c:symbol val="none"/>
          </c:marker>
          <c:cat>
            <c:numRef>
              <c:f>'Figure 2.4.1.'!$U$32:$U$223</c:f>
              <c:numCache>
                <c:formatCode>General</c:formatCode>
                <c:ptCount val="192"/>
                <c:pt idx="0">
                  <c:v>1830</c:v>
                </c:pt>
                <c:pt idx="1">
                  <c:v>1831</c:v>
                </c:pt>
                <c:pt idx="2">
                  <c:v>1832</c:v>
                </c:pt>
                <c:pt idx="3">
                  <c:v>1833</c:v>
                </c:pt>
                <c:pt idx="4">
                  <c:v>1834</c:v>
                </c:pt>
                <c:pt idx="5">
                  <c:v>1835</c:v>
                </c:pt>
                <c:pt idx="6">
                  <c:v>1836</c:v>
                </c:pt>
                <c:pt idx="7">
                  <c:v>1837</c:v>
                </c:pt>
                <c:pt idx="8">
                  <c:v>1838</c:v>
                </c:pt>
                <c:pt idx="9">
                  <c:v>1839</c:v>
                </c:pt>
                <c:pt idx="10">
                  <c:v>40</c:v>
                </c:pt>
                <c:pt idx="11">
                  <c:v>1841</c:v>
                </c:pt>
                <c:pt idx="12">
                  <c:v>1842</c:v>
                </c:pt>
                <c:pt idx="13">
                  <c:v>1843</c:v>
                </c:pt>
                <c:pt idx="14">
                  <c:v>1844</c:v>
                </c:pt>
                <c:pt idx="15">
                  <c:v>1845</c:v>
                </c:pt>
                <c:pt idx="16">
                  <c:v>1846</c:v>
                </c:pt>
                <c:pt idx="17">
                  <c:v>1847</c:v>
                </c:pt>
                <c:pt idx="18">
                  <c:v>1848</c:v>
                </c:pt>
                <c:pt idx="19">
                  <c:v>1849</c:v>
                </c:pt>
                <c:pt idx="20">
                  <c:v>50</c:v>
                </c:pt>
                <c:pt idx="21">
                  <c:v>1851</c:v>
                </c:pt>
                <c:pt idx="22">
                  <c:v>1852</c:v>
                </c:pt>
                <c:pt idx="23">
                  <c:v>1853</c:v>
                </c:pt>
                <c:pt idx="24">
                  <c:v>1854</c:v>
                </c:pt>
                <c:pt idx="25">
                  <c:v>1855</c:v>
                </c:pt>
                <c:pt idx="26">
                  <c:v>1856</c:v>
                </c:pt>
                <c:pt idx="27">
                  <c:v>1857</c:v>
                </c:pt>
                <c:pt idx="28">
                  <c:v>1858</c:v>
                </c:pt>
                <c:pt idx="29">
                  <c:v>1859</c:v>
                </c:pt>
                <c:pt idx="30">
                  <c:v>60</c:v>
                </c:pt>
                <c:pt idx="31">
                  <c:v>1861</c:v>
                </c:pt>
                <c:pt idx="32">
                  <c:v>1862</c:v>
                </c:pt>
                <c:pt idx="33">
                  <c:v>1863</c:v>
                </c:pt>
                <c:pt idx="34">
                  <c:v>1864</c:v>
                </c:pt>
                <c:pt idx="35">
                  <c:v>1865</c:v>
                </c:pt>
                <c:pt idx="36">
                  <c:v>1866</c:v>
                </c:pt>
                <c:pt idx="37">
                  <c:v>1867</c:v>
                </c:pt>
                <c:pt idx="38">
                  <c:v>1868</c:v>
                </c:pt>
                <c:pt idx="39">
                  <c:v>1869</c:v>
                </c:pt>
                <c:pt idx="40">
                  <c:v>70</c:v>
                </c:pt>
                <c:pt idx="41">
                  <c:v>1871</c:v>
                </c:pt>
                <c:pt idx="42">
                  <c:v>1872</c:v>
                </c:pt>
                <c:pt idx="43">
                  <c:v>1873</c:v>
                </c:pt>
                <c:pt idx="44">
                  <c:v>1874</c:v>
                </c:pt>
                <c:pt idx="45">
                  <c:v>1875</c:v>
                </c:pt>
                <c:pt idx="46">
                  <c:v>1876</c:v>
                </c:pt>
                <c:pt idx="47">
                  <c:v>1877</c:v>
                </c:pt>
                <c:pt idx="48">
                  <c:v>1878</c:v>
                </c:pt>
                <c:pt idx="49">
                  <c:v>1879</c:v>
                </c:pt>
                <c:pt idx="50">
                  <c:v>80</c:v>
                </c:pt>
                <c:pt idx="51">
                  <c:v>1881</c:v>
                </c:pt>
                <c:pt idx="52">
                  <c:v>1882</c:v>
                </c:pt>
                <c:pt idx="53">
                  <c:v>1883</c:v>
                </c:pt>
                <c:pt idx="54">
                  <c:v>1884</c:v>
                </c:pt>
                <c:pt idx="55">
                  <c:v>1885</c:v>
                </c:pt>
                <c:pt idx="56">
                  <c:v>1886</c:v>
                </c:pt>
                <c:pt idx="57">
                  <c:v>1887</c:v>
                </c:pt>
                <c:pt idx="58">
                  <c:v>1888</c:v>
                </c:pt>
                <c:pt idx="59">
                  <c:v>1889</c:v>
                </c:pt>
                <c:pt idx="60">
                  <c:v>90</c:v>
                </c:pt>
                <c:pt idx="61">
                  <c:v>1891</c:v>
                </c:pt>
                <c:pt idx="62">
                  <c:v>1892</c:v>
                </c:pt>
                <c:pt idx="63">
                  <c:v>1893</c:v>
                </c:pt>
                <c:pt idx="64">
                  <c:v>1894</c:v>
                </c:pt>
                <c:pt idx="65">
                  <c:v>1895</c:v>
                </c:pt>
                <c:pt idx="66">
                  <c:v>1896</c:v>
                </c:pt>
                <c:pt idx="67">
                  <c:v>1897</c:v>
                </c:pt>
                <c:pt idx="68">
                  <c:v>1898</c:v>
                </c:pt>
                <c:pt idx="69">
                  <c:v>1899</c:v>
                </c:pt>
                <c:pt idx="70">
                  <c:v>1900</c:v>
                </c:pt>
                <c:pt idx="71">
                  <c:v>1901</c:v>
                </c:pt>
                <c:pt idx="72">
                  <c:v>1902</c:v>
                </c:pt>
                <c:pt idx="73">
                  <c:v>1903</c:v>
                </c:pt>
                <c:pt idx="74">
                  <c:v>1904</c:v>
                </c:pt>
                <c:pt idx="75">
                  <c:v>1905</c:v>
                </c:pt>
                <c:pt idx="76">
                  <c:v>1906</c:v>
                </c:pt>
                <c:pt idx="77">
                  <c:v>1907</c:v>
                </c:pt>
                <c:pt idx="78">
                  <c:v>1908</c:v>
                </c:pt>
                <c:pt idx="79">
                  <c:v>1909</c:v>
                </c:pt>
                <c:pt idx="80">
                  <c:v>10</c:v>
                </c:pt>
                <c:pt idx="81">
                  <c:v>1911</c:v>
                </c:pt>
                <c:pt idx="82">
                  <c:v>1912</c:v>
                </c:pt>
                <c:pt idx="83">
                  <c:v>1913</c:v>
                </c:pt>
                <c:pt idx="84">
                  <c:v>1914</c:v>
                </c:pt>
                <c:pt idx="85">
                  <c:v>1915</c:v>
                </c:pt>
                <c:pt idx="86">
                  <c:v>1916</c:v>
                </c:pt>
                <c:pt idx="87">
                  <c:v>1917</c:v>
                </c:pt>
                <c:pt idx="88">
                  <c:v>1918</c:v>
                </c:pt>
                <c:pt idx="89">
                  <c:v>1919</c:v>
                </c:pt>
                <c:pt idx="90">
                  <c:v>20</c:v>
                </c:pt>
                <c:pt idx="91">
                  <c:v>1921</c:v>
                </c:pt>
                <c:pt idx="92">
                  <c:v>1922</c:v>
                </c:pt>
                <c:pt idx="93">
                  <c:v>1923</c:v>
                </c:pt>
                <c:pt idx="94">
                  <c:v>1924</c:v>
                </c:pt>
                <c:pt idx="95">
                  <c:v>1925</c:v>
                </c:pt>
                <c:pt idx="96">
                  <c:v>1926</c:v>
                </c:pt>
                <c:pt idx="97">
                  <c:v>1927</c:v>
                </c:pt>
                <c:pt idx="98">
                  <c:v>1928</c:v>
                </c:pt>
                <c:pt idx="99">
                  <c:v>1929</c:v>
                </c:pt>
                <c:pt idx="100">
                  <c:v>30</c:v>
                </c:pt>
                <c:pt idx="101">
                  <c:v>1931</c:v>
                </c:pt>
                <c:pt idx="102">
                  <c:v>1932</c:v>
                </c:pt>
                <c:pt idx="103">
                  <c:v>1933</c:v>
                </c:pt>
                <c:pt idx="104">
                  <c:v>1934</c:v>
                </c:pt>
                <c:pt idx="105">
                  <c:v>1935</c:v>
                </c:pt>
                <c:pt idx="106">
                  <c:v>1936</c:v>
                </c:pt>
                <c:pt idx="107">
                  <c:v>1937</c:v>
                </c:pt>
                <c:pt idx="108">
                  <c:v>1938</c:v>
                </c:pt>
                <c:pt idx="109">
                  <c:v>1939</c:v>
                </c:pt>
                <c:pt idx="110">
                  <c:v>40</c:v>
                </c:pt>
                <c:pt idx="111">
                  <c:v>1941</c:v>
                </c:pt>
                <c:pt idx="112">
                  <c:v>1942</c:v>
                </c:pt>
                <c:pt idx="113">
                  <c:v>1943</c:v>
                </c:pt>
                <c:pt idx="114">
                  <c:v>1944</c:v>
                </c:pt>
                <c:pt idx="115">
                  <c:v>1945</c:v>
                </c:pt>
                <c:pt idx="116">
                  <c:v>1946</c:v>
                </c:pt>
                <c:pt idx="117">
                  <c:v>1947</c:v>
                </c:pt>
                <c:pt idx="118">
                  <c:v>1948</c:v>
                </c:pt>
                <c:pt idx="119">
                  <c:v>1949</c:v>
                </c:pt>
                <c:pt idx="120">
                  <c:v>50</c:v>
                </c:pt>
                <c:pt idx="121">
                  <c:v>1951</c:v>
                </c:pt>
                <c:pt idx="122">
                  <c:v>1952</c:v>
                </c:pt>
                <c:pt idx="123">
                  <c:v>1953</c:v>
                </c:pt>
                <c:pt idx="124">
                  <c:v>1954</c:v>
                </c:pt>
                <c:pt idx="125">
                  <c:v>1955</c:v>
                </c:pt>
                <c:pt idx="126">
                  <c:v>1956</c:v>
                </c:pt>
                <c:pt idx="127">
                  <c:v>1957</c:v>
                </c:pt>
                <c:pt idx="128">
                  <c:v>1958</c:v>
                </c:pt>
                <c:pt idx="129">
                  <c:v>1959</c:v>
                </c:pt>
                <c:pt idx="130">
                  <c:v>60</c:v>
                </c:pt>
                <c:pt idx="131">
                  <c:v>1961</c:v>
                </c:pt>
                <c:pt idx="132">
                  <c:v>1962</c:v>
                </c:pt>
                <c:pt idx="133">
                  <c:v>1963</c:v>
                </c:pt>
                <c:pt idx="134">
                  <c:v>1964</c:v>
                </c:pt>
                <c:pt idx="135">
                  <c:v>1965</c:v>
                </c:pt>
                <c:pt idx="136">
                  <c:v>1966</c:v>
                </c:pt>
                <c:pt idx="137">
                  <c:v>1967</c:v>
                </c:pt>
                <c:pt idx="138">
                  <c:v>1968</c:v>
                </c:pt>
                <c:pt idx="139">
                  <c:v>1969</c:v>
                </c:pt>
                <c:pt idx="140">
                  <c:v>70</c:v>
                </c:pt>
                <c:pt idx="141">
                  <c:v>1971</c:v>
                </c:pt>
                <c:pt idx="142">
                  <c:v>1972</c:v>
                </c:pt>
                <c:pt idx="143">
                  <c:v>1973</c:v>
                </c:pt>
                <c:pt idx="144">
                  <c:v>1974</c:v>
                </c:pt>
                <c:pt idx="145">
                  <c:v>1975</c:v>
                </c:pt>
                <c:pt idx="146">
                  <c:v>1976</c:v>
                </c:pt>
                <c:pt idx="147">
                  <c:v>1977</c:v>
                </c:pt>
                <c:pt idx="148">
                  <c:v>1978</c:v>
                </c:pt>
                <c:pt idx="149">
                  <c:v>1979</c:v>
                </c:pt>
                <c:pt idx="150">
                  <c:v>80</c:v>
                </c:pt>
                <c:pt idx="151">
                  <c:v>1981</c:v>
                </c:pt>
                <c:pt idx="152">
                  <c:v>1982</c:v>
                </c:pt>
                <c:pt idx="153">
                  <c:v>1983</c:v>
                </c:pt>
                <c:pt idx="154">
                  <c:v>1984</c:v>
                </c:pt>
                <c:pt idx="155">
                  <c:v>1985</c:v>
                </c:pt>
                <c:pt idx="156">
                  <c:v>1986</c:v>
                </c:pt>
                <c:pt idx="157">
                  <c:v>1987</c:v>
                </c:pt>
                <c:pt idx="158">
                  <c:v>1988</c:v>
                </c:pt>
                <c:pt idx="159">
                  <c:v>1989</c:v>
                </c:pt>
                <c:pt idx="160">
                  <c:v>90</c:v>
                </c:pt>
                <c:pt idx="161">
                  <c:v>1991</c:v>
                </c:pt>
                <c:pt idx="162">
                  <c:v>1992</c:v>
                </c:pt>
                <c:pt idx="163">
                  <c:v>1993</c:v>
                </c:pt>
                <c:pt idx="164">
                  <c:v>1994</c:v>
                </c:pt>
                <c:pt idx="165">
                  <c:v>1995</c:v>
                </c:pt>
                <c:pt idx="166">
                  <c:v>1996</c:v>
                </c:pt>
                <c:pt idx="167">
                  <c:v>1997</c:v>
                </c:pt>
                <c:pt idx="168">
                  <c:v>1998</c:v>
                </c:pt>
                <c:pt idx="169">
                  <c:v>1999</c:v>
                </c:pt>
                <c:pt idx="170">
                  <c:v>2000</c:v>
                </c:pt>
                <c:pt idx="171">
                  <c:v>2001</c:v>
                </c:pt>
                <c:pt idx="172">
                  <c:v>2002</c:v>
                </c:pt>
                <c:pt idx="173">
                  <c:v>2003</c:v>
                </c:pt>
                <c:pt idx="174">
                  <c:v>2004</c:v>
                </c:pt>
                <c:pt idx="175">
                  <c:v>2005</c:v>
                </c:pt>
                <c:pt idx="176">
                  <c:v>2006</c:v>
                </c:pt>
                <c:pt idx="177">
                  <c:v>2007</c:v>
                </c:pt>
                <c:pt idx="178">
                  <c:v>2008</c:v>
                </c:pt>
                <c:pt idx="179">
                  <c:v>2009</c:v>
                </c:pt>
                <c:pt idx="180">
                  <c:v>10</c:v>
                </c:pt>
                <c:pt idx="181">
                  <c:v>2011</c:v>
                </c:pt>
                <c:pt idx="182">
                  <c:v>2012</c:v>
                </c:pt>
                <c:pt idx="183">
                  <c:v>2013</c:v>
                </c:pt>
                <c:pt idx="184">
                  <c:v>2014</c:v>
                </c:pt>
                <c:pt idx="185">
                  <c:v>2015</c:v>
                </c:pt>
                <c:pt idx="186">
                  <c:v>2016</c:v>
                </c:pt>
                <c:pt idx="187">
                  <c:v>2017</c:v>
                </c:pt>
                <c:pt idx="188">
                  <c:v>2018</c:v>
                </c:pt>
                <c:pt idx="189">
                  <c:v>2019</c:v>
                </c:pt>
                <c:pt idx="190">
                  <c:v>20</c:v>
                </c:pt>
                <c:pt idx="191">
                  <c:v>2021</c:v>
                </c:pt>
              </c:numCache>
            </c:numRef>
          </c:cat>
          <c:val>
            <c:numRef>
              <c:f>'Figure 2.4.1.'!$Z$32:$Z$223</c:f>
              <c:numCache>
                <c:formatCode>0</c:formatCode>
                <c:ptCount val="192"/>
                <c:pt idx="0">
                  <c:v>5.6177200999999997</c:v>
                </c:pt>
                <c:pt idx="1">
                  <c:v>5.2910994999999996</c:v>
                </c:pt>
                <c:pt idx="2">
                  <c:v>5.6446500000000004</c:v>
                </c:pt>
                <c:pt idx="3">
                  <c:v>5.2706799999999996</c:v>
                </c:pt>
                <c:pt idx="4">
                  <c:v>4.8942899999999998</c:v>
                </c:pt>
                <c:pt idx="5">
                  <c:v>4.2855901999999997</c:v>
                </c:pt>
                <c:pt idx="6">
                  <c:v>4.3152198999999998</c:v>
                </c:pt>
                <c:pt idx="7">
                  <c:v>4.7746396000000004</c:v>
                </c:pt>
                <c:pt idx="8">
                  <c:v>4.5846495999999997</c:v>
                </c:pt>
                <c:pt idx="9">
                  <c:v>4.4922494999999998</c:v>
                </c:pt>
                <c:pt idx="10">
                  <c:v>4.8997001999999998</c:v>
                </c:pt>
                <c:pt idx="11">
                  <c:v>5.4503697999999998</c:v>
                </c:pt>
                <c:pt idx="12">
                  <c:v>5.9747000000000003</c:v>
                </c:pt>
                <c:pt idx="13">
                  <c:v>5.9663005</c:v>
                </c:pt>
                <c:pt idx="14">
                  <c:v>5.3468403999999996</c:v>
                </c:pt>
                <c:pt idx="15">
                  <c:v>4.8403100999999999</c:v>
                </c:pt>
                <c:pt idx="16">
                  <c:v>4.5951300000000002</c:v>
                </c:pt>
                <c:pt idx="17">
                  <c:v>5.0724901999999998</c:v>
                </c:pt>
                <c:pt idx="18">
                  <c:v>5.2917098999999999</c:v>
                </c:pt>
                <c:pt idx="19">
                  <c:v>4.5585193999999998</c:v>
                </c:pt>
                <c:pt idx="20">
                  <c:v>5.0490503000000002</c:v>
                </c:pt>
                <c:pt idx="21">
                  <c:v>4.5641499000000003</c:v>
                </c:pt>
                <c:pt idx="22">
                  <c:v>4.6730498999999996</c:v>
                </c:pt>
                <c:pt idx="23">
                  <c:v>4.9994497000000004</c:v>
                </c:pt>
                <c:pt idx="24">
                  <c:v>9.2294297000000007</c:v>
                </c:pt>
                <c:pt idx="25">
                  <c:v>10.360860000000001</c:v>
                </c:pt>
                <c:pt idx="26">
                  <c:v>7.4104296999999999</c:v>
                </c:pt>
                <c:pt idx="27">
                  <c:v>6.3303102999999998</c:v>
                </c:pt>
                <c:pt idx="28">
                  <c:v>6.0582396999999997</c:v>
                </c:pt>
                <c:pt idx="29">
                  <c:v>6.3982603999999998</c:v>
                </c:pt>
                <c:pt idx="30">
                  <c:v>6.7663202</c:v>
                </c:pt>
                <c:pt idx="31">
                  <c:v>6.1516897999999998</c:v>
                </c:pt>
                <c:pt idx="32">
                  <c:v>5.7863702999999997</c:v>
                </c:pt>
                <c:pt idx="33">
                  <c:v>5.1873399999999998</c:v>
                </c:pt>
                <c:pt idx="34">
                  <c:v>4.8531500999999997</c:v>
                </c:pt>
                <c:pt idx="35">
                  <c:v>4.5219697999999999</c:v>
                </c:pt>
                <c:pt idx="36">
                  <c:v>4.5074297999999997</c:v>
                </c:pt>
                <c:pt idx="37">
                  <c:v>5.1185197999999996</c:v>
                </c:pt>
                <c:pt idx="38">
                  <c:v>5.4630697000000001</c:v>
                </c:pt>
                <c:pt idx="39">
                  <c:v>4.4335798999999998</c:v>
                </c:pt>
                <c:pt idx="40">
                  <c:v>4.2097300999999998</c:v>
                </c:pt>
                <c:pt idx="41">
                  <c:v>4.1921799000000002</c:v>
                </c:pt>
                <c:pt idx="42">
                  <c:v>3.8528802</c:v>
                </c:pt>
                <c:pt idx="43">
                  <c:v>3.9906001</c:v>
                </c:pt>
                <c:pt idx="44">
                  <c:v>3.9669498999999999</c:v>
                </c:pt>
                <c:pt idx="45">
                  <c:v>3.4178099999999998</c:v>
                </c:pt>
                <c:pt idx="46">
                  <c:v>3.6036103000000002</c:v>
                </c:pt>
                <c:pt idx="47">
                  <c:v>3.9559000000000002</c:v>
                </c:pt>
                <c:pt idx="48">
                  <c:v>4.2771198999999998</c:v>
                </c:pt>
                <c:pt idx="49">
                  <c:v>4.3348801000000003</c:v>
                </c:pt>
                <c:pt idx="50">
                  <c:v>3.9629903</c:v>
                </c:pt>
                <c:pt idx="51">
                  <c:v>4.4108000000000001</c:v>
                </c:pt>
                <c:pt idx="52">
                  <c:v>4.6302297000000001</c:v>
                </c:pt>
                <c:pt idx="53">
                  <c:v>4.2813698999999996</c:v>
                </c:pt>
                <c:pt idx="54">
                  <c:v>4.6231600999999998</c:v>
                </c:pt>
                <c:pt idx="55">
                  <c:v>5.5944601</c:v>
                </c:pt>
                <c:pt idx="56">
                  <c:v>5.0488600999999997</c:v>
                </c:pt>
                <c:pt idx="57">
                  <c:v>4.8494498999999998</c:v>
                </c:pt>
                <c:pt idx="58">
                  <c:v>4.8270400999999996</c:v>
                </c:pt>
                <c:pt idx="59">
                  <c:v>4.9699198000000004</c:v>
                </c:pt>
                <c:pt idx="60">
                  <c:v>5.0619098999999999</c:v>
                </c:pt>
                <c:pt idx="61">
                  <c:v>5.1679700999999998</c:v>
                </c:pt>
                <c:pt idx="62">
                  <c:v>5.1939602000000002</c:v>
                </c:pt>
                <c:pt idx="63">
                  <c:v>5.5342697999999997</c:v>
                </c:pt>
                <c:pt idx="64">
                  <c:v>5.4114300999999996</c:v>
                </c:pt>
                <c:pt idx="65">
                  <c:v>5.7192499999999997</c:v>
                </c:pt>
                <c:pt idx="66">
                  <c:v>5.6644702000000002</c:v>
                </c:pt>
                <c:pt idx="67">
                  <c:v>5.8897700000000004</c:v>
                </c:pt>
                <c:pt idx="68">
                  <c:v>5.8230200999999999</c:v>
                </c:pt>
                <c:pt idx="69">
                  <c:v>6.8857195000000004</c:v>
                </c:pt>
                <c:pt idx="70">
                  <c:v>9.6711203000000001</c:v>
                </c:pt>
                <c:pt idx="71">
                  <c:v>9.5922596000000002</c:v>
                </c:pt>
                <c:pt idx="72">
                  <c:v>9.0075999000000007</c:v>
                </c:pt>
                <c:pt idx="73">
                  <c:v>7.0466902999999999</c:v>
                </c:pt>
                <c:pt idx="74">
                  <c:v>6.6471200000000001</c:v>
                </c:pt>
                <c:pt idx="75">
                  <c:v>6.3223199000000001</c:v>
                </c:pt>
                <c:pt idx="76">
                  <c:v>6.1931503000000001</c:v>
                </c:pt>
                <c:pt idx="77">
                  <c:v>6.1241899999999996</c:v>
                </c:pt>
                <c:pt idx="78">
                  <c:v>6.2367201999999997</c:v>
                </c:pt>
                <c:pt idx="79">
                  <c:v>6.7677801999999998</c:v>
                </c:pt>
                <c:pt idx="80">
                  <c:v>7.1881076000000004</c:v>
                </c:pt>
                <c:pt idx="81">
                  <c:v>7.1197452999999999</c:v>
                </c:pt>
                <c:pt idx="82">
                  <c:v>7.4388049000000001</c:v>
                </c:pt>
                <c:pt idx="83">
                  <c:v>7.3491891999999996</c:v>
                </c:pt>
                <c:pt idx="84">
                  <c:v>22.132118999999999</c:v>
                </c:pt>
                <c:pt idx="85">
                  <c:v>40.238661</c:v>
                </c:pt>
                <c:pt idx="86">
                  <c:v>65.505443</c:v>
                </c:pt>
                <c:pt idx="87">
                  <c:v>62.180821999999999</c:v>
                </c:pt>
                <c:pt idx="88">
                  <c:v>48.003562000000002</c:v>
                </c:pt>
                <c:pt idx="89">
                  <c:v>26.42689</c:v>
                </c:pt>
                <c:pt idx="90">
                  <c:v>14.769030000000001</c:v>
                </c:pt>
                <c:pt idx="91">
                  <c:v>14.48237</c:v>
                </c:pt>
                <c:pt idx="92">
                  <c:v>10.9818</c:v>
                </c:pt>
                <c:pt idx="93">
                  <c:v>9.7828607999999999</c:v>
                </c:pt>
                <c:pt idx="94">
                  <c:v>9.8859797</c:v>
                </c:pt>
                <c:pt idx="95">
                  <c:v>9.6768408000000008</c:v>
                </c:pt>
                <c:pt idx="96">
                  <c:v>10.42442</c:v>
                </c:pt>
                <c:pt idx="97">
                  <c:v>9.5125598999999994</c:v>
                </c:pt>
                <c:pt idx="98">
                  <c:v>8.8845196000000008</c:v>
                </c:pt>
                <c:pt idx="99">
                  <c:v>9.0706205000000004</c:v>
                </c:pt>
                <c:pt idx="100">
                  <c:v>9.7820292000000002</c:v>
                </c:pt>
                <c:pt idx="101">
                  <c:v>10.95266</c:v>
                </c:pt>
                <c:pt idx="102">
                  <c:v>11.63166</c:v>
                </c:pt>
                <c:pt idx="103">
                  <c:v>10.26305</c:v>
                </c:pt>
                <c:pt idx="104">
                  <c:v>11.01009</c:v>
                </c:pt>
                <c:pt idx="105">
                  <c:v>11.964269</c:v>
                </c:pt>
                <c:pt idx="106">
                  <c:v>12.821289999999999</c:v>
                </c:pt>
                <c:pt idx="107">
                  <c:v>12.154901000000001</c:v>
                </c:pt>
                <c:pt idx="108">
                  <c:v>13.107079000000001</c:v>
                </c:pt>
                <c:pt idx="109">
                  <c:v>16.315429000000002</c:v>
                </c:pt>
                <c:pt idx="110">
                  <c:v>24.891531000000001</c:v>
                </c:pt>
                <c:pt idx="111">
                  <c:v>47.531939999999999</c:v>
                </c:pt>
                <c:pt idx="112">
                  <c:v>53.398541999999999</c:v>
                </c:pt>
                <c:pt idx="113">
                  <c:v>58.626280000000001</c:v>
                </c:pt>
                <c:pt idx="114">
                  <c:v>58.798679999999997</c:v>
                </c:pt>
                <c:pt idx="115">
                  <c:v>62.143329000000001</c:v>
                </c:pt>
                <c:pt idx="116">
                  <c:v>55.600031999999999</c:v>
                </c:pt>
                <c:pt idx="117">
                  <c:v>45.342430999999998</c:v>
                </c:pt>
                <c:pt idx="118">
                  <c:v>31.886949999999999</c:v>
                </c:pt>
                <c:pt idx="119">
                  <c:v>28.264500999999999</c:v>
                </c:pt>
                <c:pt idx="120">
                  <c:v>28.963711</c:v>
                </c:pt>
                <c:pt idx="121">
                  <c:v>24.925581000000001</c:v>
                </c:pt>
                <c:pt idx="122">
                  <c:v>28.962869000000001</c:v>
                </c:pt>
                <c:pt idx="123">
                  <c:v>28.46602</c:v>
                </c:pt>
                <c:pt idx="124">
                  <c:v>30.560880000000001</c:v>
                </c:pt>
                <c:pt idx="125">
                  <c:v>24.758068999999999</c:v>
                </c:pt>
                <c:pt idx="126">
                  <c:v>27.163419999999999</c:v>
                </c:pt>
                <c:pt idx="127">
                  <c:v>29.06485</c:v>
                </c:pt>
                <c:pt idx="128">
                  <c:v>30.072219</c:v>
                </c:pt>
                <c:pt idx="129">
                  <c:v>29.070038</c:v>
                </c:pt>
                <c:pt idx="130">
                  <c:v>29.43927</c:v>
                </c:pt>
                <c:pt idx="131">
                  <c:v>27.834440000000001</c:v>
                </c:pt>
                <c:pt idx="132">
                  <c:v>30.365872</c:v>
                </c:pt>
                <c:pt idx="133">
                  <c:v>33.969909000000001</c:v>
                </c:pt>
                <c:pt idx="134">
                  <c:v>29.632729000000001</c:v>
                </c:pt>
                <c:pt idx="135">
                  <c:v>31.560479999999998</c:v>
                </c:pt>
                <c:pt idx="136">
                  <c:v>32.685809999999996</c:v>
                </c:pt>
                <c:pt idx="137">
                  <c:v>36.993380999999999</c:v>
                </c:pt>
                <c:pt idx="138">
                  <c:v>37.131878999999998</c:v>
                </c:pt>
                <c:pt idx="139">
                  <c:v>36.094569999999997</c:v>
                </c:pt>
                <c:pt idx="140">
                  <c:v>37.962108999999998</c:v>
                </c:pt>
                <c:pt idx="141">
                  <c:v>37.409568999999998</c:v>
                </c:pt>
                <c:pt idx="142">
                  <c:v>38.542347999999997</c:v>
                </c:pt>
                <c:pt idx="143">
                  <c:v>39.720768999999997</c:v>
                </c:pt>
                <c:pt idx="144">
                  <c:v>43.434269999999998</c:v>
                </c:pt>
                <c:pt idx="145">
                  <c:v>45.015059000000001</c:v>
                </c:pt>
                <c:pt idx="146">
                  <c:v>44.771338999999998</c:v>
                </c:pt>
                <c:pt idx="147">
                  <c:v>42.269759999999998</c:v>
                </c:pt>
                <c:pt idx="148">
                  <c:v>41.763441</c:v>
                </c:pt>
                <c:pt idx="149">
                  <c:v>40.556592000000002</c:v>
                </c:pt>
                <c:pt idx="150">
                  <c:v>42.743360000000003</c:v>
                </c:pt>
                <c:pt idx="151">
                  <c:v>45.966901999999997</c:v>
                </c:pt>
                <c:pt idx="152">
                  <c:v>45.491669000000002</c:v>
                </c:pt>
                <c:pt idx="153">
                  <c:v>45.437651000000002</c:v>
                </c:pt>
                <c:pt idx="154">
                  <c:v>45.15296</c:v>
                </c:pt>
                <c:pt idx="155">
                  <c:v>43.608288999999999</c:v>
                </c:pt>
                <c:pt idx="156">
                  <c:v>39.894781999999999</c:v>
                </c:pt>
                <c:pt idx="157">
                  <c:v>38.163581000000001</c:v>
                </c:pt>
                <c:pt idx="158">
                  <c:v>36.157198000000001</c:v>
                </c:pt>
                <c:pt idx="159">
                  <c:v>35.688270000000003</c:v>
                </c:pt>
                <c:pt idx="160">
                  <c:v>37.443269000000001</c:v>
                </c:pt>
                <c:pt idx="161">
                  <c:v>39.628619</c:v>
                </c:pt>
                <c:pt idx="162">
                  <c:v>41.992291999999999</c:v>
                </c:pt>
                <c:pt idx="163">
                  <c:v>42.004250999999996</c:v>
                </c:pt>
                <c:pt idx="164">
                  <c:v>41.127678000000003</c:v>
                </c:pt>
                <c:pt idx="165">
                  <c:v>40.330801999999998</c:v>
                </c:pt>
                <c:pt idx="166">
                  <c:v>38.711689999999997</c:v>
                </c:pt>
                <c:pt idx="167">
                  <c:v>36.952669</c:v>
                </c:pt>
                <c:pt idx="168">
                  <c:v>36.003298999999998</c:v>
                </c:pt>
                <c:pt idx="169">
                  <c:v>36.043570000000003</c:v>
                </c:pt>
                <c:pt idx="170">
                  <c:v>34.046700000000001</c:v>
                </c:pt>
                <c:pt idx="171">
                  <c:v>37.838621000000003</c:v>
                </c:pt>
                <c:pt idx="172">
                  <c:v>39.1066</c:v>
                </c:pt>
                <c:pt idx="173">
                  <c:v>40.140931000000002</c:v>
                </c:pt>
                <c:pt idx="174">
                  <c:v>40.999870000000001</c:v>
                </c:pt>
                <c:pt idx="175">
                  <c:v>41.993800999999998</c:v>
                </c:pt>
                <c:pt idx="176">
                  <c:v>42.1235</c:v>
                </c:pt>
                <c:pt idx="177">
                  <c:v>41.662979</c:v>
                </c:pt>
                <c:pt idx="178">
                  <c:v>45.565691000000001</c:v>
                </c:pt>
                <c:pt idx="179">
                  <c:v>49.578901000000002</c:v>
                </c:pt>
                <c:pt idx="180">
                  <c:v>47.677307999999996</c:v>
                </c:pt>
                <c:pt idx="181">
                  <c:v>40.284298999999997</c:v>
                </c:pt>
                <c:pt idx="182">
                  <c:v>40.655704</c:v>
                </c:pt>
                <c:pt idx="183">
                  <c:v>38.922792999999999</c:v>
                </c:pt>
                <c:pt idx="184">
                  <c:v>38.286886000000003</c:v>
                </c:pt>
                <c:pt idx="185">
                  <c:v>37.714937999999997</c:v>
                </c:pt>
                <c:pt idx="186">
                  <c:v>36.781216999999998</c:v>
                </c:pt>
                <c:pt idx="187">
                  <c:v>36.128532999999997</c:v>
                </c:pt>
                <c:pt idx="188">
                  <c:v>36.015048</c:v>
                </c:pt>
                <c:pt idx="189">
                  <c:v>36.139544000000001</c:v>
                </c:pt>
                <c:pt idx="190">
                  <c:v>47.032223999999999</c:v>
                </c:pt>
                <c:pt idx="191">
                  <c:v>42.162326</c:v>
                </c:pt>
              </c:numCache>
            </c:numRef>
          </c:val>
          <c:smooth val="0"/>
          <c:extLst>
            <c:ext xmlns:c16="http://schemas.microsoft.com/office/drawing/2014/chart" uri="{C3380CC4-5D6E-409C-BE32-E72D297353CC}">
              <c16:uniqueId val="{00000003-B46E-4F11-8E55-415377E027F0}"/>
            </c:ext>
          </c:extLst>
        </c:ser>
        <c:dLbls>
          <c:showLegendKey val="0"/>
          <c:showVal val="0"/>
          <c:showCatName val="0"/>
          <c:showSerName val="0"/>
          <c:showPercent val="0"/>
          <c:showBubbleSize val="0"/>
        </c:dLbls>
        <c:marker val="1"/>
        <c:smooth val="0"/>
        <c:axId val="2113017215"/>
        <c:axId val="2113023455"/>
      </c:lineChart>
      <c:catAx>
        <c:axId val="2111592671"/>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1593087"/>
        <c:crosses val="autoZero"/>
        <c:auto val="1"/>
        <c:lblAlgn val="ctr"/>
        <c:lblOffset val="100"/>
        <c:tickLblSkip val="10"/>
        <c:tickMarkSkip val="10"/>
        <c:noMultiLvlLbl val="0"/>
      </c:catAx>
      <c:valAx>
        <c:axId val="2111593087"/>
        <c:scaling>
          <c:orientation val="minMax"/>
          <c:max val="300"/>
        </c:scaling>
        <c:delete val="0"/>
        <c:axPos val="l"/>
        <c:numFmt formatCode="General"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1592671"/>
        <c:crosses val="autoZero"/>
        <c:crossBetween val="between"/>
      </c:valAx>
      <c:valAx>
        <c:axId val="2113023455"/>
        <c:scaling>
          <c:orientation val="minMax"/>
        </c:scaling>
        <c:delete val="0"/>
        <c:axPos val="r"/>
        <c:numFmt formatCode="0"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3017215"/>
        <c:crosses val="max"/>
        <c:crossBetween val="between"/>
      </c:valAx>
      <c:catAx>
        <c:axId val="2113017215"/>
        <c:scaling>
          <c:orientation val="minMax"/>
        </c:scaling>
        <c:delete val="1"/>
        <c:axPos val="b"/>
        <c:numFmt formatCode="General" sourceLinked="1"/>
        <c:majorTickMark val="out"/>
        <c:minorTickMark val="none"/>
        <c:tickLblPos val="nextTo"/>
        <c:crossAx val="211302345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2"/>
          <c:tx>
            <c:strRef>
              <c:f>'Figure 2.4.2.'!$AN$30</c:f>
              <c:strCache>
                <c:ptCount val="1"/>
                <c:pt idx="0">
                  <c:v>Germany</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'Figure 2.4.2.'!$L$31:$L$41</c15:sqref>
                  </c15:fullRef>
                </c:ext>
              </c:extLst>
              <c:f>'Figure 2.4.2.'!$L$31:$L$39</c:f>
              <c:numCache>
                <c:formatCode>General</c:formatCode>
                <c:ptCount val="9"/>
                <c:pt idx="0">
                  <c:v>1939</c:v>
                </c:pt>
                <c:pt idx="1">
                  <c:v>1940</c:v>
                </c:pt>
                <c:pt idx="2">
                  <c:v>1941</c:v>
                </c:pt>
                <c:pt idx="3">
                  <c:v>1942</c:v>
                </c:pt>
                <c:pt idx="4">
                  <c:v>1943</c:v>
                </c:pt>
                <c:pt idx="5">
                  <c:v>1944</c:v>
                </c:pt>
                <c:pt idx="6">
                  <c:v>1945</c:v>
                </c:pt>
                <c:pt idx="7">
                  <c:v>1946</c:v>
                </c:pt>
                <c:pt idx="8">
                  <c:v>1947</c:v>
                </c:pt>
              </c:numCache>
            </c:numRef>
          </c:cat>
          <c:val>
            <c:numRef>
              <c:extLst>
                <c:ext xmlns:c15="http://schemas.microsoft.com/office/drawing/2012/chart" uri="{02D57815-91ED-43cb-92C2-25804820EDAC}">
                  <c15:fullRef>
                    <c15:sqref>'Figure 2.4.2.'!$AN$31:$AN$41</c15:sqref>
                  </c15:fullRef>
                </c:ext>
              </c:extLst>
              <c:f>'Figure 2.4.2.'!$AN$31:$AN$39</c:f>
              <c:numCache>
                <c:formatCode>General</c:formatCode>
                <c:ptCount val="9"/>
                <c:pt idx="0">
                  <c:v>0</c:v>
                </c:pt>
                <c:pt idx="1">
                  <c:v>3.1252543999999993</c:v>
                </c:pt>
                <c:pt idx="2">
                  <c:v>5.4067221999999582</c:v>
                </c:pt>
                <c:pt idx="3">
                  <c:v>8.3699019999999624</c:v>
                </c:pt>
                <c:pt idx="4">
                  <c:v>9.0971779000000197</c:v>
                </c:pt>
                <c:pt idx="5">
                  <c:v>11.247798399999942</c:v>
                </c:pt>
                <c:pt idx="6">
                  <c:v>14.0451836</c:v>
                </c:pt>
                <c:pt idx="7">
                  <c:v>22.631312599999951</c:v>
                </c:pt>
                <c:pt idx="8">
                  <c:v>29.361680799999945</c:v>
                </c:pt>
              </c:numCache>
            </c:numRef>
          </c:val>
          <c:smooth val="0"/>
          <c:extLst>
            <c:ext xmlns:c16="http://schemas.microsoft.com/office/drawing/2014/chart" uri="{C3380CC4-5D6E-409C-BE32-E72D297353CC}">
              <c16:uniqueId val="{00000000-00C6-4809-9D09-3A1B6C09B1B2}"/>
            </c:ext>
          </c:extLst>
        </c:ser>
        <c:ser>
          <c:idx val="3"/>
          <c:order val="3"/>
          <c:tx>
            <c:strRef>
              <c:f>'Figure 2.4.2.'!$AP$30</c:f>
              <c:strCache>
                <c:ptCount val="1"/>
                <c:pt idx="0">
                  <c:v>UK</c:v>
                </c:pt>
              </c:strCache>
            </c:strRef>
          </c:tx>
          <c:spPr>
            <a:ln w="28575" cap="rnd">
              <a:solidFill>
                <a:schemeClr val="accent4"/>
              </a:solidFill>
              <a:prstDash val="dash"/>
              <a:round/>
            </a:ln>
            <a:effectLst/>
          </c:spPr>
          <c:marker>
            <c:symbol val="none"/>
          </c:marker>
          <c:cat>
            <c:numRef>
              <c:extLst>
                <c:ext xmlns:c15="http://schemas.microsoft.com/office/drawing/2012/chart" uri="{02D57815-91ED-43cb-92C2-25804820EDAC}">
                  <c15:fullRef>
                    <c15:sqref>'Figure 2.4.2.'!$L$31:$L$41</c15:sqref>
                  </c15:fullRef>
                </c:ext>
              </c:extLst>
              <c:f>'Figure 2.4.2.'!$L$31:$L$39</c:f>
              <c:numCache>
                <c:formatCode>General</c:formatCode>
                <c:ptCount val="9"/>
                <c:pt idx="0">
                  <c:v>1939</c:v>
                </c:pt>
                <c:pt idx="1">
                  <c:v>1940</c:v>
                </c:pt>
                <c:pt idx="2">
                  <c:v>1941</c:v>
                </c:pt>
                <c:pt idx="3">
                  <c:v>1942</c:v>
                </c:pt>
                <c:pt idx="4">
                  <c:v>1943</c:v>
                </c:pt>
                <c:pt idx="5">
                  <c:v>1944</c:v>
                </c:pt>
                <c:pt idx="6">
                  <c:v>1945</c:v>
                </c:pt>
                <c:pt idx="7">
                  <c:v>1946</c:v>
                </c:pt>
                <c:pt idx="8">
                  <c:v>1947</c:v>
                </c:pt>
              </c:numCache>
            </c:numRef>
          </c:cat>
          <c:val>
            <c:numRef>
              <c:extLst>
                <c:ext xmlns:c15="http://schemas.microsoft.com/office/drawing/2012/chart" uri="{02D57815-91ED-43cb-92C2-25804820EDAC}">
                  <c15:fullRef>
                    <c15:sqref>'Figure 2.4.2.'!$AP$31:$AP$41</c15:sqref>
                  </c15:fullRef>
                </c:ext>
              </c:extLst>
              <c:f>'Figure 2.4.2.'!$AP$31:$AP$39</c:f>
              <c:numCache>
                <c:formatCode>General</c:formatCode>
                <c:ptCount val="9"/>
                <c:pt idx="0">
                  <c:v>0</c:v>
                </c:pt>
                <c:pt idx="1">
                  <c:v>15.529288440603551</c:v>
                </c:pt>
                <c:pt idx="2">
                  <c:v>25.784947273112756</c:v>
                </c:pt>
                <c:pt idx="3">
                  <c:v>32.644226419673927</c:v>
                </c:pt>
                <c:pt idx="4">
                  <c:v>35.987704028297671</c:v>
                </c:pt>
                <c:pt idx="5">
                  <c:v>38.651897122939772</c:v>
                </c:pt>
                <c:pt idx="6">
                  <c:v>41.413413826237111</c:v>
                </c:pt>
                <c:pt idx="7">
                  <c:v>44.46633432971938</c:v>
                </c:pt>
                <c:pt idx="8">
                  <c:v>51.232199177100867</c:v>
                </c:pt>
              </c:numCache>
            </c:numRef>
          </c:val>
          <c:smooth val="0"/>
          <c:extLst>
            <c:ext xmlns:c16="http://schemas.microsoft.com/office/drawing/2014/chart" uri="{C3380CC4-5D6E-409C-BE32-E72D297353CC}">
              <c16:uniqueId val="{00000001-00C6-4809-9D09-3A1B6C09B1B2}"/>
            </c:ext>
          </c:extLst>
        </c:ser>
        <c:ser>
          <c:idx val="4"/>
          <c:order val="4"/>
          <c:tx>
            <c:strRef>
              <c:f>'Figure 2.4.2.'!$AR$30</c:f>
              <c:strCache>
                <c:ptCount val="1"/>
                <c:pt idx="0">
                  <c:v>USA</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'Figure 2.4.2.'!$L$31:$L$41</c15:sqref>
                  </c15:fullRef>
                </c:ext>
              </c:extLst>
              <c:f>'Figure 2.4.2.'!$L$31:$L$39</c:f>
              <c:numCache>
                <c:formatCode>General</c:formatCode>
                <c:ptCount val="9"/>
                <c:pt idx="0">
                  <c:v>1939</c:v>
                </c:pt>
                <c:pt idx="1">
                  <c:v>1940</c:v>
                </c:pt>
                <c:pt idx="2">
                  <c:v>1941</c:v>
                </c:pt>
                <c:pt idx="3">
                  <c:v>1942</c:v>
                </c:pt>
                <c:pt idx="4">
                  <c:v>1943</c:v>
                </c:pt>
                <c:pt idx="5">
                  <c:v>1944</c:v>
                </c:pt>
                <c:pt idx="6">
                  <c:v>1945</c:v>
                </c:pt>
                <c:pt idx="7">
                  <c:v>1946</c:v>
                </c:pt>
                <c:pt idx="8">
                  <c:v>1947</c:v>
                </c:pt>
              </c:numCache>
            </c:numRef>
          </c:cat>
          <c:val>
            <c:numRef>
              <c:extLst>
                <c:ext xmlns:c15="http://schemas.microsoft.com/office/drawing/2012/chart" uri="{02D57815-91ED-43cb-92C2-25804820EDAC}">
                  <c15:fullRef>
                    <c15:sqref>'Figure 2.4.2.'!$AR$31:$AR$41</c15:sqref>
                  </c15:fullRef>
                </c:ext>
              </c:extLst>
              <c:f>'Figure 2.4.2.'!$AR$31:$AR$39</c:f>
              <c:numCache>
                <c:formatCode>General</c:formatCode>
                <c:ptCount val="9"/>
                <c:pt idx="0">
                  <c:v>0</c:v>
                </c:pt>
                <c:pt idx="1">
                  <c:v>0.71684894786128162</c:v>
                </c:pt>
                <c:pt idx="2">
                  <c:v>5.5958653648044532</c:v>
                </c:pt>
                <c:pt idx="3">
                  <c:v>15.927626767607084</c:v>
                </c:pt>
                <c:pt idx="4">
                  <c:v>21.881766136708734</c:v>
                </c:pt>
                <c:pt idx="5">
                  <c:v>23.60100619074603</c:v>
                </c:pt>
                <c:pt idx="6">
                  <c:v>25.848291775951893</c:v>
                </c:pt>
                <c:pt idx="7">
                  <c:v>33.852562543305488</c:v>
                </c:pt>
                <c:pt idx="8">
                  <c:v>47.269783832942693</c:v>
                </c:pt>
              </c:numCache>
            </c:numRef>
          </c:val>
          <c:smooth val="0"/>
          <c:extLst>
            <c:ext xmlns:c16="http://schemas.microsoft.com/office/drawing/2014/chart" uri="{C3380CC4-5D6E-409C-BE32-E72D297353CC}">
              <c16:uniqueId val="{00000002-00C6-4809-9D09-3A1B6C09B1B2}"/>
            </c:ext>
          </c:extLst>
        </c:ser>
        <c:dLbls>
          <c:showLegendKey val="0"/>
          <c:showVal val="0"/>
          <c:showCatName val="0"/>
          <c:showSerName val="0"/>
          <c:showPercent val="0"/>
          <c:showBubbleSize val="0"/>
        </c:dLbls>
        <c:marker val="1"/>
        <c:smooth val="0"/>
        <c:axId val="394661632"/>
        <c:axId val="394668288"/>
      </c:lineChart>
      <c:lineChart>
        <c:grouping val="standard"/>
        <c:varyColors val="0"/>
        <c:ser>
          <c:idx val="0"/>
          <c:order val="0"/>
          <c:tx>
            <c:strRef>
              <c:f>'Figure 2.4.2.'!$AJ$30</c:f>
              <c:strCache>
                <c:ptCount val="1"/>
                <c:pt idx="0">
                  <c:v>France (right scale)</c:v>
                </c:pt>
              </c:strCache>
            </c:strRef>
          </c:tx>
          <c:spPr>
            <a:ln w="28575" cap="rnd">
              <a:solidFill>
                <a:srgbClr val="00B050"/>
              </a:solidFill>
              <a:prstDash val="lgDash"/>
              <a:round/>
            </a:ln>
            <a:effectLst/>
          </c:spPr>
          <c:marker>
            <c:symbol val="none"/>
          </c:marker>
          <c:cat>
            <c:numRef>
              <c:extLst>
                <c:ext xmlns:c15="http://schemas.microsoft.com/office/drawing/2012/chart" uri="{02D57815-91ED-43cb-92C2-25804820EDAC}">
                  <c15:fullRef>
                    <c15:sqref>'Figure 2.4.2.'!$L$31:$L$41</c15:sqref>
                  </c15:fullRef>
                </c:ext>
              </c:extLst>
              <c:f>'Figure 2.4.2.'!$L$31:$L$39</c:f>
              <c:numCache>
                <c:formatCode>General</c:formatCode>
                <c:ptCount val="9"/>
                <c:pt idx="0">
                  <c:v>1939</c:v>
                </c:pt>
                <c:pt idx="1">
                  <c:v>1940</c:v>
                </c:pt>
                <c:pt idx="2">
                  <c:v>1941</c:v>
                </c:pt>
                <c:pt idx="3">
                  <c:v>1942</c:v>
                </c:pt>
                <c:pt idx="4">
                  <c:v>1943</c:v>
                </c:pt>
                <c:pt idx="5">
                  <c:v>1944</c:v>
                </c:pt>
                <c:pt idx="6">
                  <c:v>1945</c:v>
                </c:pt>
                <c:pt idx="7">
                  <c:v>1946</c:v>
                </c:pt>
                <c:pt idx="8">
                  <c:v>1947</c:v>
                </c:pt>
              </c:numCache>
            </c:numRef>
          </c:cat>
          <c:val>
            <c:numRef>
              <c:extLst>
                <c:ext xmlns:c15="http://schemas.microsoft.com/office/drawing/2012/chart" uri="{02D57815-91ED-43cb-92C2-25804820EDAC}">
                  <c15:fullRef>
                    <c15:sqref>'Figure 2.4.2.'!$AJ$31:$AJ$41</c15:sqref>
                  </c15:fullRef>
                </c:ext>
              </c:extLst>
              <c:f>'Figure 2.4.2.'!$AJ$31:$AJ$39</c:f>
              <c:numCache>
                <c:formatCode>General</c:formatCode>
                <c:ptCount val="9"/>
                <c:pt idx="0">
                  <c:v>0</c:v>
                </c:pt>
                <c:pt idx="1">
                  <c:v>17.271269768731791</c:v>
                </c:pt>
                <c:pt idx="2">
                  <c:v>33.177739231700528</c:v>
                </c:pt>
                <c:pt idx="3">
                  <c:v>51.898893440515167</c:v>
                </c:pt>
                <c:pt idx="4">
                  <c:v>73.331322228528009</c:v>
                </c:pt>
                <c:pt idx="5">
                  <c:v>93.577186744597782</c:v>
                </c:pt>
                <c:pt idx="6">
                  <c:v>132.93769982633921</c:v>
                </c:pt>
                <c:pt idx="7">
                  <c:v>175.13358470774085</c:v>
                </c:pt>
                <c:pt idx="8">
                  <c:v>215.15715636630409</c:v>
                </c:pt>
              </c:numCache>
            </c:numRef>
          </c:val>
          <c:smooth val="0"/>
          <c:extLst>
            <c:ext xmlns:c16="http://schemas.microsoft.com/office/drawing/2014/chart" uri="{C3380CC4-5D6E-409C-BE32-E72D297353CC}">
              <c16:uniqueId val="{00000003-00C6-4809-9D09-3A1B6C09B1B2}"/>
            </c:ext>
          </c:extLst>
        </c:ser>
        <c:ser>
          <c:idx val="1"/>
          <c:order val="1"/>
          <c:tx>
            <c:strRef>
              <c:f>'Figure 2.4.2.'!$AL$30</c:f>
              <c:strCache>
                <c:ptCount val="1"/>
                <c:pt idx="0">
                  <c:v>Italy (right scale)</c:v>
                </c:pt>
              </c:strCache>
            </c:strRef>
          </c:tx>
          <c:spPr>
            <a:ln w="28575" cap="rnd">
              <a:solidFill>
                <a:schemeClr val="accent2"/>
              </a:solidFill>
              <a:prstDash val="dashDot"/>
              <a:round/>
            </a:ln>
            <a:effectLst/>
          </c:spPr>
          <c:marker>
            <c:symbol val="none"/>
          </c:marker>
          <c:cat>
            <c:numRef>
              <c:extLst>
                <c:ext xmlns:c15="http://schemas.microsoft.com/office/drawing/2012/chart" uri="{02D57815-91ED-43cb-92C2-25804820EDAC}">
                  <c15:fullRef>
                    <c15:sqref>'Figure 2.4.2.'!$L$31:$L$41</c15:sqref>
                  </c15:fullRef>
                </c:ext>
              </c:extLst>
              <c:f>'Figure 2.4.2.'!$L$31:$L$39</c:f>
              <c:numCache>
                <c:formatCode>General</c:formatCode>
                <c:ptCount val="9"/>
                <c:pt idx="0">
                  <c:v>1939</c:v>
                </c:pt>
                <c:pt idx="1">
                  <c:v>1940</c:v>
                </c:pt>
                <c:pt idx="2">
                  <c:v>1941</c:v>
                </c:pt>
                <c:pt idx="3">
                  <c:v>1942</c:v>
                </c:pt>
                <c:pt idx="4">
                  <c:v>1943</c:v>
                </c:pt>
                <c:pt idx="5">
                  <c:v>1944</c:v>
                </c:pt>
                <c:pt idx="6">
                  <c:v>1945</c:v>
                </c:pt>
                <c:pt idx="7">
                  <c:v>1946</c:v>
                </c:pt>
                <c:pt idx="8">
                  <c:v>1947</c:v>
                </c:pt>
              </c:numCache>
            </c:numRef>
          </c:cat>
          <c:val>
            <c:numRef>
              <c:extLst>
                <c:ext xmlns:c15="http://schemas.microsoft.com/office/drawing/2012/chart" uri="{02D57815-91ED-43cb-92C2-25804820EDAC}">
                  <c15:fullRef>
                    <c15:sqref>'Figure 2.4.2.'!$AL$31:$AL$41</c15:sqref>
                  </c15:fullRef>
                </c:ext>
              </c:extLst>
              <c:f>'Figure 2.4.2.'!$AL$31:$AL$39</c:f>
              <c:numCache>
                <c:formatCode>General</c:formatCode>
                <c:ptCount val="9"/>
                <c:pt idx="0">
                  <c:v>0</c:v>
                </c:pt>
                <c:pt idx="1">
                  <c:v>15.443366417595627</c:v>
                </c:pt>
                <c:pt idx="2">
                  <c:v>30.032495182208962</c:v>
                </c:pt>
                <c:pt idx="3">
                  <c:v>44.513196515722626</c:v>
                </c:pt>
                <c:pt idx="4">
                  <c:v>96.214957338744625</c:v>
                </c:pt>
                <c:pt idx="5">
                  <c:v>245.36912286327268</c:v>
                </c:pt>
                <c:pt idx="6">
                  <c:v>313.14917642965668</c:v>
                </c:pt>
                <c:pt idx="7">
                  <c:v>329.71660497321773</c:v>
                </c:pt>
                <c:pt idx="8">
                  <c:v>377.9969948543598</c:v>
                </c:pt>
              </c:numCache>
            </c:numRef>
          </c:val>
          <c:smooth val="0"/>
          <c:extLst>
            <c:ext xmlns:c16="http://schemas.microsoft.com/office/drawing/2014/chart" uri="{C3380CC4-5D6E-409C-BE32-E72D297353CC}">
              <c16:uniqueId val="{00000004-00C6-4809-9D09-3A1B6C09B1B2}"/>
            </c:ext>
          </c:extLst>
        </c:ser>
        <c:dLbls>
          <c:showLegendKey val="0"/>
          <c:showVal val="0"/>
          <c:showCatName val="0"/>
          <c:showSerName val="0"/>
          <c:showPercent val="0"/>
          <c:showBubbleSize val="0"/>
        </c:dLbls>
        <c:marker val="1"/>
        <c:smooth val="0"/>
        <c:axId val="750327200"/>
        <c:axId val="750325536"/>
      </c:lineChart>
      <c:catAx>
        <c:axId val="394661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68288"/>
        <c:crosses val="autoZero"/>
        <c:auto val="1"/>
        <c:lblAlgn val="ctr"/>
        <c:lblOffset val="100"/>
        <c:tickLblSkip val="2"/>
        <c:noMultiLvlLbl val="0"/>
      </c:catAx>
      <c:valAx>
        <c:axId val="394668288"/>
        <c:scaling>
          <c:orientation val="minMax"/>
          <c:max val="75"/>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4661632"/>
        <c:crosses val="autoZero"/>
        <c:crossBetween val="between"/>
        <c:majorUnit val="15"/>
      </c:valAx>
      <c:valAx>
        <c:axId val="750325536"/>
        <c:scaling>
          <c:orientation val="minMax"/>
          <c:max val="5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0327200"/>
        <c:crosses val="max"/>
        <c:crossBetween val="between"/>
        <c:majorUnit val="100"/>
      </c:valAx>
      <c:catAx>
        <c:axId val="750327200"/>
        <c:scaling>
          <c:orientation val="minMax"/>
        </c:scaling>
        <c:delete val="1"/>
        <c:axPos val="b"/>
        <c:numFmt formatCode="General" sourceLinked="1"/>
        <c:majorTickMark val="out"/>
        <c:minorTickMark val="none"/>
        <c:tickLblPos val="nextTo"/>
        <c:crossAx val="750325536"/>
        <c:crosses val="autoZero"/>
        <c:auto val="1"/>
        <c:lblAlgn val="ctr"/>
        <c:lblOffset val="100"/>
        <c:noMultiLvlLbl val="0"/>
      </c:catAx>
      <c:spPr>
        <a:noFill/>
        <a:ln>
          <a:noFill/>
        </a:ln>
        <a:effectLst/>
      </c:spPr>
    </c:plotArea>
    <c:legend>
      <c:legendPos val="t"/>
      <c:layout>
        <c:manualLayout>
          <c:xMode val="edge"/>
          <c:yMode val="edge"/>
          <c:x val="0.12511031562273908"/>
          <c:y val="4.9880141786941425E-2"/>
          <c:w val="0.58347658788584189"/>
          <c:h val="0.29566178117091346"/>
        </c:manualLayout>
      </c:layout>
      <c:overlay val="1"/>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295654438351"/>
          <c:y val="6.2105616001465282E-2"/>
          <c:w val="0.72182937353599042"/>
          <c:h val="0.81379607129742504"/>
        </c:manualLayout>
      </c:layout>
      <c:lineChart>
        <c:grouping val="standard"/>
        <c:varyColors val="0"/>
        <c:ser>
          <c:idx val="0"/>
          <c:order val="0"/>
          <c:tx>
            <c:strRef>
              <c:f>'Figure 2.4.2.'!$AJ$5</c:f>
              <c:strCache>
                <c:ptCount val="1"/>
                <c:pt idx="0">
                  <c:v>France</c:v>
                </c:pt>
              </c:strCache>
            </c:strRef>
          </c:tx>
          <c:spPr>
            <a:ln w="28575" cap="rnd">
              <a:solidFill>
                <a:srgbClr val="00B050"/>
              </a:solidFill>
              <a:prstDash val="lgDash"/>
              <a:round/>
            </a:ln>
            <a:effectLst/>
          </c:spPr>
          <c:marker>
            <c:symbol val="none"/>
          </c:marker>
          <c:cat>
            <c:numRef>
              <c:extLst>
                <c:ext xmlns:c15="http://schemas.microsoft.com/office/drawing/2012/chart" uri="{02D57815-91ED-43cb-92C2-25804820EDAC}">
                  <c15:fullRef>
                    <c15:sqref>'Figure 2.4.2.'!$L$6:$L$16</c15:sqref>
                  </c15:fullRef>
                </c:ext>
              </c:extLst>
              <c:f>'Figure 2.4.2.'!$L$6:$L$12</c:f>
              <c:numCache>
                <c:formatCode>General</c:formatCode>
                <c:ptCount val="7"/>
                <c:pt idx="0">
                  <c:v>1914</c:v>
                </c:pt>
                <c:pt idx="1">
                  <c:v>1915</c:v>
                </c:pt>
                <c:pt idx="2">
                  <c:v>1916</c:v>
                </c:pt>
                <c:pt idx="3">
                  <c:v>1917</c:v>
                </c:pt>
                <c:pt idx="4">
                  <c:v>1918</c:v>
                </c:pt>
                <c:pt idx="5">
                  <c:v>1919</c:v>
                </c:pt>
                <c:pt idx="6">
                  <c:v>1920</c:v>
                </c:pt>
              </c:numCache>
            </c:numRef>
          </c:cat>
          <c:val>
            <c:numRef>
              <c:extLst>
                <c:ext xmlns:c15="http://schemas.microsoft.com/office/drawing/2012/chart" uri="{02D57815-91ED-43cb-92C2-25804820EDAC}">
                  <c15:fullRef>
                    <c15:sqref>'Figure 2.4.2.'!$AJ$6:$AJ$16</c15:sqref>
                  </c15:fullRef>
                </c:ext>
              </c:extLst>
              <c:f>'Figure 2.4.2.'!$AJ$6:$AJ$12</c:f>
              <c:numCache>
                <c:formatCode>General</c:formatCode>
                <c:ptCount val="7"/>
                <c:pt idx="0">
                  <c:v>0</c:v>
                </c:pt>
                <c:pt idx="1">
                  <c:v>16.251892949777471</c:v>
                </c:pt>
                <c:pt idx="2">
                  <c:v>30.228087187293355</c:v>
                </c:pt>
                <c:pt idx="3">
                  <c:v>46.262352194811299</c:v>
                </c:pt>
                <c:pt idx="4">
                  <c:v>72.213471743319758</c:v>
                </c:pt>
                <c:pt idx="5">
                  <c:v>95.097628986204484</c:v>
                </c:pt>
                <c:pt idx="6">
                  <c:v>127.76605201170949</c:v>
                </c:pt>
              </c:numCache>
            </c:numRef>
          </c:val>
          <c:smooth val="0"/>
          <c:extLst>
            <c:ext xmlns:c16="http://schemas.microsoft.com/office/drawing/2014/chart" uri="{C3380CC4-5D6E-409C-BE32-E72D297353CC}">
              <c16:uniqueId val="{00000000-E249-4681-BC82-5975CF96A508}"/>
            </c:ext>
          </c:extLst>
        </c:ser>
        <c:ser>
          <c:idx val="1"/>
          <c:order val="2"/>
          <c:tx>
            <c:strRef>
              <c:f>'Figure 2.4.2.'!$AL$5</c:f>
              <c:strCache>
                <c:ptCount val="1"/>
                <c:pt idx="0">
                  <c:v>Italy</c:v>
                </c:pt>
              </c:strCache>
            </c:strRef>
          </c:tx>
          <c:spPr>
            <a:ln w="28575" cap="rnd">
              <a:solidFill>
                <a:schemeClr val="accent2"/>
              </a:solidFill>
              <a:prstDash val="lgDashDot"/>
              <a:round/>
            </a:ln>
            <a:effectLst/>
          </c:spPr>
          <c:marker>
            <c:symbol val="none"/>
          </c:marker>
          <c:cat>
            <c:numRef>
              <c:extLst>
                <c:ext xmlns:c15="http://schemas.microsoft.com/office/drawing/2012/chart" uri="{02D57815-91ED-43cb-92C2-25804820EDAC}">
                  <c15:fullRef>
                    <c15:sqref>'Figure 2.4.2.'!$L$6:$L$16</c15:sqref>
                  </c15:fullRef>
                </c:ext>
              </c:extLst>
              <c:f>'Figure 2.4.2.'!$L$6:$L$12</c:f>
              <c:numCache>
                <c:formatCode>General</c:formatCode>
                <c:ptCount val="7"/>
                <c:pt idx="0">
                  <c:v>1914</c:v>
                </c:pt>
                <c:pt idx="1">
                  <c:v>1915</c:v>
                </c:pt>
                <c:pt idx="2">
                  <c:v>1916</c:v>
                </c:pt>
                <c:pt idx="3">
                  <c:v>1917</c:v>
                </c:pt>
                <c:pt idx="4">
                  <c:v>1918</c:v>
                </c:pt>
                <c:pt idx="5">
                  <c:v>1919</c:v>
                </c:pt>
                <c:pt idx="6">
                  <c:v>1920</c:v>
                </c:pt>
              </c:numCache>
            </c:numRef>
          </c:cat>
          <c:val>
            <c:numRef>
              <c:extLst>
                <c:ext xmlns:c15="http://schemas.microsoft.com/office/drawing/2012/chart" uri="{02D57815-91ED-43cb-92C2-25804820EDAC}">
                  <c15:fullRef>
                    <c15:sqref>'Figure 2.4.2.'!$AL$6:$AL$16</c15:sqref>
                  </c15:fullRef>
                </c:ext>
              </c:extLst>
              <c:f>'Figure 2.4.2.'!$AL$6:$AL$12</c:f>
              <c:numCache>
                <c:formatCode>General</c:formatCode>
                <c:ptCount val="7"/>
                <c:pt idx="0">
                  <c:v>0</c:v>
                </c:pt>
                <c:pt idx="1">
                  <c:v>6.7656760696786389</c:v>
                </c:pt>
                <c:pt idx="2">
                  <c:v>29.192363530803611</c:v>
                </c:pt>
                <c:pt idx="3">
                  <c:v>63.868938683381153</c:v>
                </c:pt>
                <c:pt idx="4">
                  <c:v>97.115693319992729</c:v>
                </c:pt>
                <c:pt idx="5">
                  <c:v>98.618853207430945</c:v>
                </c:pt>
                <c:pt idx="6">
                  <c:v>125.9311765885424</c:v>
                </c:pt>
              </c:numCache>
            </c:numRef>
          </c:val>
          <c:smooth val="0"/>
          <c:extLst>
            <c:ext xmlns:c16="http://schemas.microsoft.com/office/drawing/2014/chart" uri="{C3380CC4-5D6E-409C-BE32-E72D297353CC}">
              <c16:uniqueId val="{00000001-E249-4681-BC82-5975CF96A508}"/>
            </c:ext>
          </c:extLst>
        </c:ser>
        <c:ser>
          <c:idx val="3"/>
          <c:order val="3"/>
          <c:tx>
            <c:strRef>
              <c:f>'Figure 2.4.2.'!$AP$5</c:f>
              <c:strCache>
                <c:ptCount val="1"/>
                <c:pt idx="0">
                  <c:v>UK</c:v>
                </c:pt>
              </c:strCache>
            </c:strRef>
          </c:tx>
          <c:spPr>
            <a:ln w="28575" cap="rnd">
              <a:solidFill>
                <a:schemeClr val="accent4"/>
              </a:solidFill>
              <a:prstDash val="dash"/>
              <a:round/>
            </a:ln>
            <a:effectLst/>
          </c:spPr>
          <c:marker>
            <c:symbol val="none"/>
          </c:marker>
          <c:cat>
            <c:numRef>
              <c:extLst>
                <c:ext xmlns:c15="http://schemas.microsoft.com/office/drawing/2012/chart" uri="{02D57815-91ED-43cb-92C2-25804820EDAC}">
                  <c15:fullRef>
                    <c15:sqref>'Figure 2.4.2.'!$L$6:$L$16</c15:sqref>
                  </c15:fullRef>
                </c:ext>
              </c:extLst>
              <c:f>'Figure 2.4.2.'!$L$6:$L$12</c:f>
              <c:numCache>
                <c:formatCode>General</c:formatCode>
                <c:ptCount val="7"/>
                <c:pt idx="0">
                  <c:v>1914</c:v>
                </c:pt>
                <c:pt idx="1">
                  <c:v>1915</c:v>
                </c:pt>
                <c:pt idx="2">
                  <c:v>1916</c:v>
                </c:pt>
                <c:pt idx="3">
                  <c:v>1917</c:v>
                </c:pt>
                <c:pt idx="4">
                  <c:v>1918</c:v>
                </c:pt>
                <c:pt idx="5">
                  <c:v>1919</c:v>
                </c:pt>
                <c:pt idx="6">
                  <c:v>1920</c:v>
                </c:pt>
              </c:numCache>
            </c:numRef>
          </c:cat>
          <c:val>
            <c:numRef>
              <c:extLst>
                <c:ext xmlns:c15="http://schemas.microsoft.com/office/drawing/2012/chart" uri="{02D57815-91ED-43cb-92C2-25804820EDAC}">
                  <c15:fullRef>
                    <c15:sqref>'Figure 2.4.2.'!$AP$6:$AP$16</c15:sqref>
                  </c15:fullRef>
                </c:ext>
              </c:extLst>
              <c:f>'Figure 2.4.2.'!$AP$6:$AP$12</c:f>
              <c:numCache>
                <c:formatCode>General</c:formatCode>
                <c:ptCount val="7"/>
                <c:pt idx="0">
                  <c:v>0</c:v>
                </c:pt>
                <c:pt idx="1">
                  <c:v>11.778303565638327</c:v>
                </c:pt>
                <c:pt idx="2">
                  <c:v>28.414457287160857</c:v>
                </c:pt>
                <c:pt idx="3">
                  <c:v>50.888684554951553</c:v>
                </c:pt>
                <c:pt idx="4">
                  <c:v>70.773770429468044</c:v>
                </c:pt>
                <c:pt idx="5">
                  <c:v>80.395656203522364</c:v>
                </c:pt>
                <c:pt idx="6">
                  <c:v>94.719073012113114</c:v>
                </c:pt>
              </c:numCache>
            </c:numRef>
          </c:val>
          <c:smooth val="0"/>
          <c:extLst>
            <c:ext xmlns:c16="http://schemas.microsoft.com/office/drawing/2014/chart" uri="{C3380CC4-5D6E-409C-BE32-E72D297353CC}">
              <c16:uniqueId val="{00000002-E249-4681-BC82-5975CF96A508}"/>
            </c:ext>
          </c:extLst>
        </c:ser>
        <c:ser>
          <c:idx val="4"/>
          <c:order val="4"/>
          <c:tx>
            <c:strRef>
              <c:f>'Figure 2.4.2.'!$AR$5</c:f>
              <c:strCache>
                <c:ptCount val="1"/>
                <c:pt idx="0">
                  <c:v>USA</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'Figure 2.4.2.'!$L$6:$L$16</c15:sqref>
                  </c15:fullRef>
                </c:ext>
              </c:extLst>
              <c:f>'Figure 2.4.2.'!$L$6:$L$12</c:f>
              <c:numCache>
                <c:formatCode>General</c:formatCode>
                <c:ptCount val="7"/>
                <c:pt idx="0">
                  <c:v>1914</c:v>
                </c:pt>
                <c:pt idx="1">
                  <c:v>1915</c:v>
                </c:pt>
                <c:pt idx="2">
                  <c:v>1916</c:v>
                </c:pt>
                <c:pt idx="3">
                  <c:v>1917</c:v>
                </c:pt>
                <c:pt idx="4">
                  <c:v>1918</c:v>
                </c:pt>
                <c:pt idx="5">
                  <c:v>1919</c:v>
                </c:pt>
                <c:pt idx="6">
                  <c:v>1920</c:v>
                </c:pt>
              </c:numCache>
            </c:numRef>
          </c:cat>
          <c:val>
            <c:numRef>
              <c:extLst>
                <c:ext xmlns:c15="http://schemas.microsoft.com/office/drawing/2012/chart" uri="{02D57815-91ED-43cb-92C2-25804820EDAC}">
                  <c15:fullRef>
                    <c15:sqref>'Figure 2.4.2.'!$AR$6:$AR$16</c15:sqref>
                  </c15:fullRef>
                </c:ext>
              </c:extLst>
              <c:f>'Figure 2.4.2.'!$AR$6:$AR$12</c:f>
              <c:numCache>
                <c:formatCode>General</c:formatCode>
                <c:ptCount val="7"/>
                <c:pt idx="0">
                  <c:v>0</c:v>
                </c:pt>
                <c:pt idx="1">
                  <c:v>0.9950330853168321</c:v>
                </c:pt>
                <c:pt idx="2">
                  <c:v>8.6177696241052537</c:v>
                </c:pt>
                <c:pt idx="3">
                  <c:v>24.686007793152598</c:v>
                </c:pt>
                <c:pt idx="4">
                  <c:v>41.210965082683295</c:v>
                </c:pt>
                <c:pt idx="5">
                  <c:v>54.812140850968795</c:v>
                </c:pt>
                <c:pt idx="6">
                  <c:v>69.314718055994589</c:v>
                </c:pt>
              </c:numCache>
            </c:numRef>
          </c:val>
          <c:smooth val="0"/>
          <c:extLst>
            <c:ext xmlns:c16="http://schemas.microsoft.com/office/drawing/2014/chart" uri="{C3380CC4-5D6E-409C-BE32-E72D297353CC}">
              <c16:uniqueId val="{00000003-E249-4681-BC82-5975CF96A508}"/>
            </c:ext>
          </c:extLst>
        </c:ser>
        <c:dLbls>
          <c:showLegendKey val="0"/>
          <c:showVal val="0"/>
          <c:showCatName val="0"/>
          <c:showSerName val="0"/>
          <c:showPercent val="0"/>
          <c:showBubbleSize val="0"/>
        </c:dLbls>
        <c:marker val="1"/>
        <c:smooth val="0"/>
        <c:axId val="2030373360"/>
        <c:axId val="2030374192"/>
      </c:lineChart>
      <c:lineChart>
        <c:grouping val="standard"/>
        <c:varyColors val="0"/>
        <c:ser>
          <c:idx val="2"/>
          <c:order val="1"/>
          <c:tx>
            <c:strRef>
              <c:f>'Figure 2.4.2.'!$AN$5</c:f>
              <c:strCache>
                <c:ptCount val="1"/>
                <c:pt idx="0">
                  <c:v>Germany (right scale)</c:v>
                </c:pt>
              </c:strCache>
            </c:strRef>
          </c:tx>
          <c:spPr>
            <a:ln w="28575" cap="rnd">
              <a:solidFill>
                <a:schemeClr val="bg1">
                  <a:lumMod val="50000"/>
                </a:schemeClr>
              </a:solidFill>
              <a:prstDash val="sysDot"/>
              <a:round/>
            </a:ln>
            <a:effectLst/>
          </c:spPr>
          <c:marker>
            <c:symbol val="none"/>
          </c:marker>
          <c:cat>
            <c:strLit>
              <c:ptCount val="7"/>
              <c:pt idx="0">
                <c:v>1</c:v>
              </c:pt>
              <c:pt idx="1">
                <c:v>2</c:v>
              </c:pt>
              <c:pt idx="2">
                <c:v>3</c:v>
              </c:pt>
              <c:pt idx="3">
                <c:v>4</c:v>
              </c:pt>
              <c:pt idx="4">
                <c:v>5</c:v>
              </c:pt>
              <c:pt idx="5">
                <c:v>6</c:v>
              </c:pt>
              <c:pt idx="6">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2.4.2.'!$AN$6:$AN$16</c15:sqref>
                  </c15:fullRef>
                </c:ext>
              </c:extLst>
              <c:f>'Figure 2.4.2.'!$AN$6:$AN$12</c:f>
              <c:numCache>
                <c:formatCode>General</c:formatCode>
                <c:ptCount val="7"/>
                <c:pt idx="0">
                  <c:v>0</c:v>
                </c:pt>
                <c:pt idx="1">
                  <c:v>22.716231000000064</c:v>
                </c:pt>
                <c:pt idx="2">
                  <c:v>50.13852299999968</c:v>
                </c:pt>
                <c:pt idx="3">
                  <c:v>90.685033999999831</c:v>
                </c:pt>
                <c:pt idx="4">
                  <c:v>111.41508899999977</c:v>
                </c:pt>
                <c:pt idx="5">
                  <c:v>139.79708899999963</c:v>
                </c:pt>
                <c:pt idx="6">
                  <c:v>229.58510599999968</c:v>
                </c:pt>
              </c:numCache>
            </c:numRef>
          </c:val>
          <c:smooth val="0"/>
          <c:extLst>
            <c:ext xmlns:c16="http://schemas.microsoft.com/office/drawing/2014/chart" uri="{C3380CC4-5D6E-409C-BE32-E72D297353CC}">
              <c16:uniqueId val="{00000004-E249-4681-BC82-5975CF96A508}"/>
            </c:ext>
          </c:extLst>
        </c:ser>
        <c:dLbls>
          <c:showLegendKey val="0"/>
          <c:showVal val="0"/>
          <c:showCatName val="0"/>
          <c:showSerName val="0"/>
          <c:showPercent val="0"/>
          <c:showBubbleSize val="0"/>
        </c:dLbls>
        <c:marker val="1"/>
        <c:smooth val="0"/>
        <c:axId val="393438032"/>
        <c:axId val="393432624"/>
      </c:lineChart>
      <c:catAx>
        <c:axId val="20303733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0374192"/>
        <c:crosses val="autoZero"/>
        <c:auto val="1"/>
        <c:lblAlgn val="ctr"/>
        <c:lblOffset val="100"/>
        <c:tickLblSkip val="2"/>
        <c:noMultiLvlLbl val="0"/>
      </c:catAx>
      <c:valAx>
        <c:axId val="2030374192"/>
        <c:scaling>
          <c:orientation val="minMax"/>
          <c:max val="150"/>
          <c:min val="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0373360"/>
        <c:crosses val="autoZero"/>
        <c:crossBetween val="between"/>
        <c:majorUnit val="30"/>
      </c:valAx>
      <c:valAx>
        <c:axId val="393432624"/>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3438032"/>
        <c:crosses val="max"/>
        <c:crossBetween val="between"/>
      </c:valAx>
      <c:catAx>
        <c:axId val="393438032"/>
        <c:scaling>
          <c:orientation val="minMax"/>
        </c:scaling>
        <c:delete val="1"/>
        <c:axPos val="b"/>
        <c:majorTickMark val="out"/>
        <c:minorTickMark val="none"/>
        <c:tickLblPos val="nextTo"/>
        <c:crossAx val="393432624"/>
        <c:crosses val="autoZero"/>
        <c:auto val="1"/>
        <c:lblAlgn val="ctr"/>
        <c:lblOffset val="100"/>
        <c:noMultiLvlLbl val="0"/>
      </c:catAx>
      <c:spPr>
        <a:noFill/>
        <a:ln>
          <a:noFill/>
        </a:ln>
        <a:effectLst/>
      </c:spPr>
    </c:plotArea>
    <c:legend>
      <c:legendPos val="t"/>
      <c:layout>
        <c:manualLayout>
          <c:xMode val="edge"/>
          <c:yMode val="edge"/>
          <c:x val="9.5039145951901272E-2"/>
          <c:y val="5.5851940431568957E-2"/>
          <c:w val="0.64740691403740469"/>
          <c:h val="0.26149574201106784"/>
        </c:manualLayout>
      </c:layout>
      <c:overlay val="1"/>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40952578963382"/>
          <c:y val="6.8340968058218446E-2"/>
          <c:w val="0.77686691547240405"/>
          <c:h val="0.77325303683773194"/>
        </c:manualLayout>
      </c:layout>
      <c:scatterChart>
        <c:scatterStyle val="lineMarker"/>
        <c:varyColors val="0"/>
        <c:ser>
          <c:idx val="0"/>
          <c:order val="0"/>
          <c:tx>
            <c:strRef>
              <c:f>'Figure 2.4.3.'!$M$3</c:f>
              <c:strCache>
                <c:ptCount val="1"/>
                <c:pt idx="0">
                  <c:v>dev_pinf_core</c:v>
                </c:pt>
              </c:strCache>
            </c:strRef>
          </c:tx>
          <c:spPr>
            <a:ln w="19050" cap="rnd">
              <a:noFill/>
              <a:round/>
            </a:ln>
            <a:effectLst/>
          </c:spPr>
          <c:marker>
            <c:symbol val="diamond"/>
            <c:size val="6"/>
            <c:spPr>
              <a:solidFill>
                <a:srgbClr val="FF3300"/>
              </a:solidFill>
              <a:ln w="9525">
                <a:noFill/>
              </a:ln>
              <a:effectLst/>
            </c:spPr>
          </c:marker>
          <c:dLbls>
            <c:dLbl>
              <c:idx val="0"/>
              <c:tx>
                <c:rich>
                  <a:bodyPr/>
                  <a:lstStyle/>
                  <a:p>
                    <a:fld id="{1A26B6D8-4770-409F-B11E-BFAC9F09864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5B1-483D-952B-7C2956235F3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B1-483D-952B-7C2956235F38}"/>
                </c:ext>
              </c:extLst>
            </c:dLbl>
            <c:dLbl>
              <c:idx val="2"/>
              <c:layout>
                <c:manualLayout>
                  <c:x val="-3.9357459920502096E-2"/>
                  <c:y val="-3.7185929648241203E-2"/>
                </c:manualLayout>
              </c:layout>
              <c:tx>
                <c:rich>
                  <a:bodyPr/>
                  <a:lstStyle/>
                  <a:p>
                    <a:fld id="{292D0056-6EFD-4D08-A839-699B9E5ACC4C}"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5B1-483D-952B-7C2956235F38}"/>
                </c:ext>
              </c:extLst>
            </c:dLbl>
            <c:dLbl>
              <c:idx val="3"/>
              <c:tx>
                <c:rich>
                  <a:bodyPr/>
                  <a:lstStyle/>
                  <a:p>
                    <a:fld id="{3354386E-C8EF-400E-81E7-EF12FA3C043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5B1-483D-952B-7C2956235F38}"/>
                </c:ext>
              </c:extLst>
            </c:dLbl>
            <c:dLbl>
              <c:idx val="4"/>
              <c:tx>
                <c:rich>
                  <a:bodyPr/>
                  <a:lstStyle/>
                  <a:p>
                    <a:fld id="{54E19145-92C4-4C3E-B595-55C3BAD5CAFD}"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B1-483D-952B-7C2956235F38}"/>
                </c:ext>
              </c:extLst>
            </c:dLbl>
            <c:dLbl>
              <c:idx val="5"/>
              <c:tx>
                <c:rich>
                  <a:bodyPr/>
                  <a:lstStyle/>
                  <a:p>
                    <a:fld id="{D1B2BD74-DA02-49B4-9DAA-2B2E93F25D53}"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B1-483D-952B-7C2956235F38}"/>
                </c:ext>
              </c:extLst>
            </c:dLbl>
            <c:dLbl>
              <c:idx val="6"/>
              <c:tx>
                <c:rich>
                  <a:bodyPr/>
                  <a:lstStyle/>
                  <a:p>
                    <a:fld id="{343EACFE-94C9-4171-AFF5-345F3BAD0DF6}"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B1-483D-952B-7C2956235F3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2.4.3.'!$L$4:$L$10</c:f>
              <c:numCache>
                <c:formatCode>0</c:formatCode>
                <c:ptCount val="7"/>
                <c:pt idx="0">
                  <c:v>1.09683297188642</c:v>
                </c:pt>
                <c:pt idx="1">
                  <c:v>1.16971367784543</c:v>
                </c:pt>
                <c:pt idx="2">
                  <c:v>0.90995307332225195</c:v>
                </c:pt>
                <c:pt idx="3">
                  <c:v>1.1584973491763499</c:v>
                </c:pt>
                <c:pt idx="4">
                  <c:v>1.02424033855149</c:v>
                </c:pt>
                <c:pt idx="5">
                  <c:v>1.1249474157436501</c:v>
                </c:pt>
                <c:pt idx="6">
                  <c:v>1.01255852210388</c:v>
                </c:pt>
              </c:numCache>
            </c:numRef>
          </c:xVal>
          <c:yVal>
            <c:numRef>
              <c:f>'Figure 2.4.3.'!$M$4:$M$10</c:f>
              <c:numCache>
                <c:formatCode>0</c:formatCode>
                <c:ptCount val="7"/>
                <c:pt idx="0">
                  <c:v>6.2414589124970803</c:v>
                </c:pt>
                <c:pt idx="2">
                  <c:v>2.6982714418148501</c:v>
                </c:pt>
                <c:pt idx="3">
                  <c:v>11.498807867060901</c:v>
                </c:pt>
                <c:pt idx="4">
                  <c:v>3.8584205725834502</c:v>
                </c:pt>
                <c:pt idx="5">
                  <c:v>6.7875871705275896</c:v>
                </c:pt>
                <c:pt idx="6">
                  <c:v>0.12389432065807</c:v>
                </c:pt>
              </c:numCache>
            </c:numRef>
          </c:yVal>
          <c:smooth val="0"/>
          <c:extLst>
            <c:ext xmlns:c15="http://schemas.microsoft.com/office/drawing/2012/chart" uri="{02D57815-91ED-43cb-92C2-25804820EDAC}">
              <c15:datalabelsRange>
                <c15:f>'Figure 2.4.3.'!$K$4:$K$35</c15:f>
                <c15:dlblRangeCache>
                  <c:ptCount val="32"/>
                  <c:pt idx="0">
                    <c:v>CHL</c:v>
                  </c:pt>
                  <c:pt idx="1">
                    <c:v>COL</c:v>
                  </c:pt>
                  <c:pt idx="2">
                    <c:v>CRI</c:v>
                  </c:pt>
                  <c:pt idx="3">
                    <c:v>HUN</c:v>
                  </c:pt>
                  <c:pt idx="4">
                    <c:v>MEX</c:v>
                  </c:pt>
                  <c:pt idx="5">
                    <c:v>POL</c:v>
                  </c:pt>
                  <c:pt idx="6">
                    <c:v>ZAF</c:v>
                  </c:pt>
                  <c:pt idx="7">
                    <c:v>AUT</c:v>
                  </c:pt>
                  <c:pt idx="8">
                    <c:v>BEL</c:v>
                  </c:pt>
                  <c:pt idx="9">
                    <c:v>CAN</c:v>
                  </c:pt>
                  <c:pt idx="10">
                    <c:v>CHE</c:v>
                  </c:pt>
                  <c:pt idx="11">
                    <c:v>CZE</c:v>
                  </c:pt>
                  <c:pt idx="12">
                    <c:v>DEU</c:v>
                  </c:pt>
                  <c:pt idx="13">
                    <c:v>DNK</c:v>
                  </c:pt>
                  <c:pt idx="14">
                    <c:v>ESP</c:v>
                  </c:pt>
                  <c:pt idx="15">
                    <c:v>EST</c:v>
                  </c:pt>
                  <c:pt idx="16">
                    <c:v>FIN</c:v>
                  </c:pt>
                  <c:pt idx="17">
                    <c:v>FRA</c:v>
                  </c:pt>
                  <c:pt idx="18">
                    <c:v>GBR</c:v>
                  </c:pt>
                  <c:pt idx="19">
                    <c:v>GRC</c:v>
                  </c:pt>
                  <c:pt idx="20">
                    <c:v>IRL</c:v>
                  </c:pt>
                  <c:pt idx="21">
                    <c:v>ISR</c:v>
                  </c:pt>
                  <c:pt idx="22">
                    <c:v>ITA</c:v>
                  </c:pt>
                  <c:pt idx="23">
                    <c:v>LTU</c:v>
                  </c:pt>
                  <c:pt idx="24">
                    <c:v>LVA</c:v>
                  </c:pt>
                  <c:pt idx="25">
                    <c:v>NLD</c:v>
                  </c:pt>
                  <c:pt idx="26">
                    <c:v>NOR</c:v>
                  </c:pt>
                  <c:pt idx="27">
                    <c:v>PRT</c:v>
                  </c:pt>
                  <c:pt idx="28">
                    <c:v>SVK</c:v>
                  </c:pt>
                  <c:pt idx="29">
                    <c:v>SVN</c:v>
                  </c:pt>
                  <c:pt idx="30">
                    <c:v>SWE</c:v>
                  </c:pt>
                  <c:pt idx="31">
                    <c:v>USA</c:v>
                  </c:pt>
                </c15:dlblRangeCache>
              </c15:datalabelsRange>
            </c:ext>
            <c:ext xmlns:c16="http://schemas.microsoft.com/office/drawing/2014/chart" uri="{C3380CC4-5D6E-409C-BE32-E72D297353CC}">
              <c16:uniqueId val="{00000007-C5B1-483D-952B-7C2956235F38}"/>
            </c:ext>
          </c:extLst>
        </c:ser>
        <c:ser>
          <c:idx val="1"/>
          <c:order val="1"/>
          <c:tx>
            <c:strRef>
              <c:f>'Figure 2.4.3.'!$M$3</c:f>
              <c:strCache>
                <c:ptCount val="1"/>
                <c:pt idx="0">
                  <c:v>dev_pinf_core</c:v>
                </c:pt>
              </c:strCache>
            </c:strRef>
          </c:tx>
          <c:spPr>
            <a:ln w="25400" cap="rnd">
              <a:noFill/>
              <a:round/>
            </a:ln>
            <a:effectLst/>
          </c:spPr>
          <c:marker>
            <c:symbol val="circle"/>
            <c:size val="5"/>
            <c:spPr>
              <a:solidFill>
                <a:schemeClr val="accent1">
                  <a:lumMod val="75000"/>
                </a:schemeClr>
              </a:solidFill>
              <a:ln w="9525">
                <a:noFill/>
              </a:ln>
              <a:effectLst/>
            </c:spPr>
          </c:marker>
          <c:dLbls>
            <c:dLbl>
              <c:idx val="0"/>
              <c:tx>
                <c:rich>
                  <a:bodyPr/>
                  <a:lstStyle/>
                  <a:p>
                    <a:fld id="{B3A3F9B9-3871-4F58-B29C-17AB9C833445}"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B1-483D-952B-7C2956235F38}"/>
                </c:ext>
              </c:extLst>
            </c:dLbl>
            <c:dLbl>
              <c:idx val="1"/>
              <c:tx>
                <c:rich>
                  <a:bodyPr/>
                  <a:lstStyle/>
                  <a:p>
                    <a:fld id="{FD539A6A-D8C2-4414-B3AF-9E996BE1951B}"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B1-483D-952B-7C2956235F38}"/>
                </c:ext>
              </c:extLst>
            </c:dLbl>
            <c:dLbl>
              <c:idx val="2"/>
              <c:tx>
                <c:rich>
                  <a:bodyPr/>
                  <a:lstStyle/>
                  <a:p>
                    <a:fld id="{59214F62-DBD3-48D6-91F6-7A1D36C917A8}"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B1-483D-952B-7C2956235F38}"/>
                </c:ext>
              </c:extLst>
            </c:dLbl>
            <c:dLbl>
              <c:idx val="3"/>
              <c:layout>
                <c:manualLayout>
                  <c:x val="-5.9618895720454278E-2"/>
                  <c:y val="-4.3323995257764036E-2"/>
                </c:manualLayout>
              </c:layout>
              <c:tx>
                <c:rich>
                  <a:bodyPr/>
                  <a:lstStyle/>
                  <a:p>
                    <a:fld id="{2325F832-3921-4078-9125-E15DA536249A}"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5B1-483D-952B-7C2956235F38}"/>
                </c:ext>
              </c:extLst>
            </c:dLbl>
            <c:dLbl>
              <c:idx val="4"/>
              <c:tx>
                <c:rich>
                  <a:bodyPr/>
                  <a:lstStyle/>
                  <a:p>
                    <a:fld id="{A035C742-98EA-4760-9ABB-16B609053E3D}"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B1-483D-952B-7C2956235F38}"/>
                </c:ext>
              </c:extLst>
            </c:dLbl>
            <c:dLbl>
              <c:idx val="5"/>
              <c:tx>
                <c:rich>
                  <a:bodyPr/>
                  <a:lstStyle/>
                  <a:p>
                    <a:fld id="{FE62D065-7871-409F-8B0A-4C9D7A6B6F0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B1-483D-952B-7C2956235F38}"/>
                </c:ext>
              </c:extLst>
            </c:dLbl>
            <c:dLbl>
              <c:idx val="6"/>
              <c:tx>
                <c:rich>
                  <a:bodyPr/>
                  <a:lstStyle/>
                  <a:p>
                    <a:fld id="{DB483C7D-6515-49A8-A9E0-7002FC4791B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B1-483D-952B-7C2956235F38}"/>
                </c:ext>
              </c:extLst>
            </c:dLbl>
            <c:dLbl>
              <c:idx val="7"/>
              <c:tx>
                <c:rich>
                  <a:bodyPr/>
                  <a:lstStyle/>
                  <a:p>
                    <a:fld id="{0ECC86F5-7E0E-4358-982D-34E8215333A4}"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5B1-483D-952B-7C2956235F38}"/>
                </c:ext>
              </c:extLst>
            </c:dLbl>
            <c:dLbl>
              <c:idx val="8"/>
              <c:tx>
                <c:rich>
                  <a:bodyPr/>
                  <a:lstStyle/>
                  <a:p>
                    <a:fld id="{4613F078-9763-4E86-BF23-4ABD090C946D}"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5B1-483D-952B-7C2956235F38}"/>
                </c:ext>
              </c:extLst>
            </c:dLbl>
            <c:dLbl>
              <c:idx val="9"/>
              <c:tx>
                <c:rich>
                  <a:bodyPr/>
                  <a:lstStyle/>
                  <a:p>
                    <a:fld id="{49E8727A-9318-49E4-A59C-CE59394E9A73}"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5B1-483D-952B-7C2956235F38}"/>
                </c:ext>
              </c:extLst>
            </c:dLbl>
            <c:dLbl>
              <c:idx val="10"/>
              <c:tx>
                <c:rich>
                  <a:bodyPr/>
                  <a:lstStyle/>
                  <a:p>
                    <a:fld id="{6247EF7C-C662-409B-A315-9D60CFD87DA8}"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5B1-483D-952B-7C2956235F38}"/>
                </c:ext>
              </c:extLst>
            </c:dLbl>
            <c:dLbl>
              <c:idx val="11"/>
              <c:tx>
                <c:rich>
                  <a:bodyPr/>
                  <a:lstStyle/>
                  <a:p>
                    <a:fld id="{360533C3-3AFF-438C-BFBD-4275B78E427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5B1-483D-952B-7C2956235F38}"/>
                </c:ext>
              </c:extLst>
            </c:dLbl>
            <c:dLbl>
              <c:idx val="12"/>
              <c:tx>
                <c:rich>
                  <a:bodyPr/>
                  <a:lstStyle/>
                  <a:p>
                    <a:fld id="{BD780BC2-2546-4924-BB28-9379370B2E5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5B1-483D-952B-7C2956235F38}"/>
                </c:ext>
              </c:extLst>
            </c:dLbl>
            <c:dLbl>
              <c:idx val="13"/>
              <c:tx>
                <c:rich>
                  <a:bodyPr/>
                  <a:lstStyle/>
                  <a:p>
                    <a:fld id="{7692997E-342E-4BBD-84CB-034D796FF832}"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5B1-483D-952B-7C2956235F38}"/>
                </c:ext>
              </c:extLst>
            </c:dLbl>
            <c:dLbl>
              <c:idx val="14"/>
              <c:tx>
                <c:rich>
                  <a:bodyPr/>
                  <a:lstStyle/>
                  <a:p>
                    <a:fld id="{2954D5CB-EF16-457F-B538-5DB648021CB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5B1-483D-952B-7C2956235F38}"/>
                </c:ext>
              </c:extLst>
            </c:dLbl>
            <c:dLbl>
              <c:idx val="15"/>
              <c:tx>
                <c:rich>
                  <a:bodyPr/>
                  <a:lstStyle/>
                  <a:p>
                    <a:fld id="{32DF6BF0-11AB-4887-85D8-760EA1DC8CB9}"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5B1-483D-952B-7C2956235F38}"/>
                </c:ext>
              </c:extLst>
            </c:dLbl>
            <c:dLbl>
              <c:idx val="16"/>
              <c:tx>
                <c:rich>
                  <a:bodyPr/>
                  <a:lstStyle/>
                  <a:p>
                    <a:fld id="{9360259C-C29F-483A-BF36-6D40DE129936}"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5B1-483D-952B-7C2956235F38}"/>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B1-483D-952B-7C2956235F38}"/>
                </c:ext>
              </c:extLst>
            </c:dLbl>
            <c:dLbl>
              <c:idx val="18"/>
              <c:tx>
                <c:rich>
                  <a:bodyPr/>
                  <a:lstStyle/>
                  <a:p>
                    <a:fld id="{611D7CE9-4D6B-4227-8EAE-8EE358D5D70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5B1-483D-952B-7C2956235F38}"/>
                </c:ext>
              </c:extLst>
            </c:dLbl>
            <c:dLbl>
              <c:idx val="19"/>
              <c:layout>
                <c:manualLayout>
                  <c:x val="-5.1892304178833802E-2"/>
                  <c:y val="-4.344585143193698E-2"/>
                </c:manualLayout>
              </c:layout>
              <c:tx>
                <c:rich>
                  <a:bodyPr/>
                  <a:lstStyle/>
                  <a:p>
                    <a:fld id="{B3497726-0DCF-44CB-82ED-FA82CEC2071B}"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5B1-483D-952B-7C2956235F38}"/>
                </c:ext>
              </c:extLst>
            </c:dLbl>
            <c:dLbl>
              <c:idx val="20"/>
              <c:tx>
                <c:rich>
                  <a:bodyPr/>
                  <a:lstStyle/>
                  <a:p>
                    <a:fld id="{3E94EE23-B703-4F11-8D8E-2AFC9A74AB16}"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5B1-483D-952B-7C2956235F38}"/>
                </c:ext>
              </c:extLst>
            </c:dLbl>
            <c:dLbl>
              <c:idx val="21"/>
              <c:tx>
                <c:rich>
                  <a:bodyPr/>
                  <a:lstStyle/>
                  <a:p>
                    <a:fld id="{40137AD3-2856-4773-B8A0-EA3567A8C112}"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5B1-483D-952B-7C2956235F38}"/>
                </c:ext>
              </c:extLst>
            </c:dLbl>
            <c:dLbl>
              <c:idx val="22"/>
              <c:tx>
                <c:rich>
                  <a:bodyPr/>
                  <a:lstStyle/>
                  <a:p>
                    <a:fld id="{3FD9B47B-E2A5-4A6A-9E6A-B7A3158FFD17}"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5B1-483D-952B-7C2956235F38}"/>
                </c:ext>
              </c:extLst>
            </c:dLbl>
            <c:dLbl>
              <c:idx val="23"/>
              <c:tx>
                <c:rich>
                  <a:bodyPr/>
                  <a:lstStyle/>
                  <a:p>
                    <a:fld id="{E6A691C8-0D1D-4AFA-A8F9-1EE18A0C516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5B1-483D-952B-7C2956235F38}"/>
                </c:ext>
              </c:extLst>
            </c:dLbl>
            <c:dLbl>
              <c:idx val="24"/>
              <c:tx>
                <c:rich>
                  <a:bodyPr/>
                  <a:lstStyle/>
                  <a:p>
                    <a:fld id="{15D3FB1F-2617-4519-A9BE-9FD41743FBB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5B1-483D-952B-7C2956235F3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2.4.3.'!$L$11:$L$35</c:f>
              <c:numCache>
                <c:formatCode>0</c:formatCode>
                <c:ptCount val="25"/>
                <c:pt idx="0">
                  <c:v>1.1052750288711299</c:v>
                </c:pt>
                <c:pt idx="1">
                  <c:v>1.0705001377162799</c:v>
                </c:pt>
                <c:pt idx="2">
                  <c:v>1.08660918330945</c:v>
                </c:pt>
                <c:pt idx="3">
                  <c:v>1.0788664882171799</c:v>
                </c:pt>
                <c:pt idx="4">
                  <c:v>1.0847419237026299</c:v>
                </c:pt>
                <c:pt idx="5">
                  <c:v>1.10736699390163</c:v>
                </c:pt>
                <c:pt idx="6">
                  <c:v>1.0701179240311001</c:v>
                </c:pt>
                <c:pt idx="7">
                  <c:v>1.1423227742801101</c:v>
                </c:pt>
                <c:pt idx="8">
                  <c:v>1.10513946500514</c:v>
                </c:pt>
                <c:pt idx="9">
                  <c:v>1.04544024135485</c:v>
                </c:pt>
                <c:pt idx="10">
                  <c:v>1.05796557144982</c:v>
                </c:pt>
                <c:pt idx="11">
                  <c:v>1.0628143160600501</c:v>
                </c:pt>
                <c:pt idx="12">
                  <c:v>1.07992697178029</c:v>
                </c:pt>
                <c:pt idx="13">
                  <c:v>1.2217249301498301</c:v>
                </c:pt>
                <c:pt idx="14">
                  <c:v>1.09045447543623</c:v>
                </c:pt>
                <c:pt idx="15">
                  <c:v>1.12256594415116</c:v>
                </c:pt>
                <c:pt idx="16">
                  <c:v>1.26638085158381</c:v>
                </c:pt>
                <c:pt idx="18">
                  <c:v>1.12735058002675</c:v>
                </c:pt>
                <c:pt idx="19">
                  <c:v>0.91673960048810599</c:v>
                </c:pt>
                <c:pt idx="20">
                  <c:v>1.0840008041459901</c:v>
                </c:pt>
                <c:pt idx="21">
                  <c:v>1.1079226598882801</c:v>
                </c:pt>
                <c:pt idx="22">
                  <c:v>1.14863488049886</c:v>
                </c:pt>
                <c:pt idx="23">
                  <c:v>1.0791256400890701</c:v>
                </c:pt>
                <c:pt idx="24">
                  <c:v>1.1127225057633701</c:v>
                </c:pt>
              </c:numCache>
            </c:numRef>
          </c:xVal>
          <c:yVal>
            <c:numRef>
              <c:f>'Figure 2.4.3.'!$M$11:$M$35</c:f>
              <c:numCache>
                <c:formatCode>0</c:formatCode>
                <c:ptCount val="25"/>
                <c:pt idx="0">
                  <c:v>2.1941454897664299</c:v>
                </c:pt>
                <c:pt idx="1">
                  <c:v>2.4264019735688001</c:v>
                </c:pt>
                <c:pt idx="2">
                  <c:v>2.8330956420495199</c:v>
                </c:pt>
                <c:pt idx="3">
                  <c:v>1.26522858579071</c:v>
                </c:pt>
                <c:pt idx="4">
                  <c:v>9.5022857589910803</c:v>
                </c:pt>
                <c:pt idx="5">
                  <c:v>2.7403127904653499</c:v>
                </c:pt>
                <c:pt idx="6">
                  <c:v>2.9656441717794899</c:v>
                </c:pt>
                <c:pt idx="7">
                  <c:v>4.1741396709423704</c:v>
                </c:pt>
                <c:pt idx="8">
                  <c:v>6.5926190589614304</c:v>
                </c:pt>
                <c:pt idx="9">
                  <c:v>2.9463149295920998</c:v>
                </c:pt>
                <c:pt idx="10">
                  <c:v>2.3822168037458198</c:v>
                </c:pt>
                <c:pt idx="11">
                  <c:v>4.3486202388963804</c:v>
                </c:pt>
                <c:pt idx="12">
                  <c:v>3.1181750338378</c:v>
                </c:pt>
                <c:pt idx="13">
                  <c:v>4.5813240910840403</c:v>
                </c:pt>
                <c:pt idx="14">
                  <c:v>3.30502066517144</c:v>
                </c:pt>
                <c:pt idx="15">
                  <c:v>3.22015517220595</c:v>
                </c:pt>
                <c:pt idx="16">
                  <c:v>7.4244904900319604</c:v>
                </c:pt>
                <c:pt idx="17">
                  <c:v>7.1282973436999697</c:v>
                </c:pt>
                <c:pt idx="18">
                  <c:v>2.4561549010427099</c:v>
                </c:pt>
                <c:pt idx="19">
                  <c:v>1.0390485162504799</c:v>
                </c:pt>
                <c:pt idx="20">
                  <c:v>4.5100926791677303</c:v>
                </c:pt>
                <c:pt idx="21">
                  <c:v>6.6446764176995297</c:v>
                </c:pt>
                <c:pt idx="22">
                  <c:v>5.6285576723305102</c:v>
                </c:pt>
                <c:pt idx="23">
                  <c:v>3.27943322719742</c:v>
                </c:pt>
                <c:pt idx="24">
                  <c:v>3.8662918478801802</c:v>
                </c:pt>
              </c:numCache>
            </c:numRef>
          </c:yVal>
          <c:smooth val="0"/>
          <c:extLst>
            <c:ext xmlns:c15="http://schemas.microsoft.com/office/drawing/2012/chart" uri="{02D57815-91ED-43cb-92C2-25804820EDAC}">
              <c15:datalabelsRange>
                <c15:f>'Figure 2.4.3.'!$K$11:$K$35</c15:f>
                <c15:dlblRangeCache>
                  <c:ptCount val="25"/>
                  <c:pt idx="0">
                    <c:v>AUT</c:v>
                  </c:pt>
                  <c:pt idx="1">
                    <c:v>BEL</c:v>
                  </c:pt>
                  <c:pt idx="2">
                    <c:v>CAN</c:v>
                  </c:pt>
                  <c:pt idx="3">
                    <c:v>CHE</c:v>
                  </c:pt>
                  <c:pt idx="4">
                    <c:v>CZE</c:v>
                  </c:pt>
                  <c:pt idx="5">
                    <c:v>DEU</c:v>
                  </c:pt>
                  <c:pt idx="6">
                    <c:v>DNK</c:v>
                  </c:pt>
                  <c:pt idx="7">
                    <c:v>ESP</c:v>
                  </c:pt>
                  <c:pt idx="8">
                    <c:v>EST</c:v>
                  </c:pt>
                  <c:pt idx="9">
                    <c:v>FIN</c:v>
                  </c:pt>
                  <c:pt idx="10">
                    <c:v>FRA</c:v>
                  </c:pt>
                  <c:pt idx="11">
                    <c:v>GBR</c:v>
                  </c:pt>
                  <c:pt idx="12">
                    <c:v>GRC</c:v>
                  </c:pt>
                  <c:pt idx="13">
                    <c:v>IRL</c:v>
                  </c:pt>
                  <c:pt idx="14">
                    <c:v>ISR</c:v>
                  </c:pt>
                  <c:pt idx="15">
                    <c:v>ITA</c:v>
                  </c:pt>
                  <c:pt idx="16">
                    <c:v>LTU</c:v>
                  </c:pt>
                  <c:pt idx="17">
                    <c:v>LVA</c:v>
                  </c:pt>
                  <c:pt idx="18">
                    <c:v>NLD</c:v>
                  </c:pt>
                  <c:pt idx="19">
                    <c:v>NOR</c:v>
                  </c:pt>
                  <c:pt idx="20">
                    <c:v>PRT</c:v>
                  </c:pt>
                  <c:pt idx="21">
                    <c:v>SVK</c:v>
                  </c:pt>
                  <c:pt idx="22">
                    <c:v>SVN</c:v>
                  </c:pt>
                  <c:pt idx="23">
                    <c:v>SWE</c:v>
                  </c:pt>
                  <c:pt idx="24">
                    <c:v>USA</c:v>
                  </c:pt>
                </c15:dlblRangeCache>
              </c15:datalabelsRange>
            </c:ext>
            <c:ext xmlns:c16="http://schemas.microsoft.com/office/drawing/2014/chart" uri="{C3380CC4-5D6E-409C-BE32-E72D297353CC}">
              <c16:uniqueId val="{00000021-C5B1-483D-952B-7C2956235F38}"/>
            </c:ext>
          </c:extLst>
        </c:ser>
        <c:ser>
          <c:idx val="2"/>
          <c:order val="2"/>
          <c:tx>
            <c:strRef>
              <c:f>'Figure 2.4.3.'!$M$3</c:f>
              <c:strCache>
                <c:ptCount val="1"/>
                <c:pt idx="0">
                  <c:v>dev_pinf_core</c:v>
                </c:pt>
              </c:strCache>
            </c:strRef>
          </c:tx>
          <c:spPr>
            <a:ln w="25400" cap="rnd">
              <a:noFill/>
              <a:round/>
            </a:ln>
            <a:effectLst/>
          </c:spPr>
          <c:marker>
            <c:symbol val="none"/>
          </c:marker>
          <c:dLbls>
            <c:delete val="1"/>
          </c:dLbls>
          <c:trendline>
            <c:spPr>
              <a:ln w="28575" cap="rnd">
                <a:solidFill>
                  <a:schemeClr val="tx1"/>
                </a:solidFill>
                <a:prstDash val="lgDash"/>
              </a:ln>
              <a:effectLst/>
            </c:spPr>
            <c:trendlineType val="linear"/>
            <c:dispRSqr val="0"/>
            <c:dispEq val="0"/>
          </c:trendline>
          <c:xVal>
            <c:numRef>
              <c:f>'Figure 2.4.3.'!$L$4:$L$35</c:f>
              <c:numCache>
                <c:formatCode>0</c:formatCode>
                <c:ptCount val="32"/>
                <c:pt idx="0">
                  <c:v>1.09683297188642</c:v>
                </c:pt>
                <c:pt idx="1">
                  <c:v>1.16971367784543</c:v>
                </c:pt>
                <c:pt idx="2">
                  <c:v>0.90995307332225195</c:v>
                </c:pt>
                <c:pt idx="3">
                  <c:v>1.1584973491763499</c:v>
                </c:pt>
                <c:pt idx="4">
                  <c:v>1.02424033855149</c:v>
                </c:pt>
                <c:pt idx="5">
                  <c:v>1.1249474157436501</c:v>
                </c:pt>
                <c:pt idx="6">
                  <c:v>1.01255852210388</c:v>
                </c:pt>
                <c:pt idx="7">
                  <c:v>1.1052750288711299</c:v>
                </c:pt>
                <c:pt idx="8">
                  <c:v>1.0705001377162799</c:v>
                </c:pt>
                <c:pt idx="9">
                  <c:v>1.08660918330945</c:v>
                </c:pt>
                <c:pt idx="10">
                  <c:v>1.0788664882171799</c:v>
                </c:pt>
                <c:pt idx="11">
                  <c:v>1.0847419237026299</c:v>
                </c:pt>
                <c:pt idx="12">
                  <c:v>1.10736699390163</c:v>
                </c:pt>
                <c:pt idx="13">
                  <c:v>1.0701179240311001</c:v>
                </c:pt>
                <c:pt idx="14">
                  <c:v>1.1423227742801101</c:v>
                </c:pt>
                <c:pt idx="15">
                  <c:v>1.10513946500514</c:v>
                </c:pt>
                <c:pt idx="16">
                  <c:v>1.04544024135485</c:v>
                </c:pt>
                <c:pt idx="17">
                  <c:v>1.05796557144982</c:v>
                </c:pt>
                <c:pt idx="18">
                  <c:v>1.0628143160600501</c:v>
                </c:pt>
                <c:pt idx="19">
                  <c:v>1.07992697178029</c:v>
                </c:pt>
                <c:pt idx="20">
                  <c:v>1.2217249301498301</c:v>
                </c:pt>
                <c:pt idx="21">
                  <c:v>1.09045447543623</c:v>
                </c:pt>
                <c:pt idx="22">
                  <c:v>1.12256594415116</c:v>
                </c:pt>
                <c:pt idx="23">
                  <c:v>1.26638085158381</c:v>
                </c:pt>
                <c:pt idx="25">
                  <c:v>1.12735058002675</c:v>
                </c:pt>
                <c:pt idx="26">
                  <c:v>0.91673960048810599</c:v>
                </c:pt>
                <c:pt idx="27">
                  <c:v>1.0840008041459901</c:v>
                </c:pt>
                <c:pt idx="28">
                  <c:v>1.1079226598882801</c:v>
                </c:pt>
                <c:pt idx="29">
                  <c:v>1.14863488049886</c:v>
                </c:pt>
                <c:pt idx="30">
                  <c:v>1.0791256400890701</c:v>
                </c:pt>
                <c:pt idx="31">
                  <c:v>1.1127225057633701</c:v>
                </c:pt>
              </c:numCache>
            </c:numRef>
          </c:xVal>
          <c:yVal>
            <c:numRef>
              <c:f>'Figure 2.4.3.'!$M$4:$M$35</c:f>
              <c:numCache>
                <c:formatCode>0</c:formatCode>
                <c:ptCount val="32"/>
                <c:pt idx="0">
                  <c:v>6.2414589124970803</c:v>
                </c:pt>
                <c:pt idx="2">
                  <c:v>2.6982714418148501</c:v>
                </c:pt>
                <c:pt idx="3">
                  <c:v>11.498807867060901</c:v>
                </c:pt>
                <c:pt idx="4">
                  <c:v>3.8584205725834502</c:v>
                </c:pt>
                <c:pt idx="5">
                  <c:v>6.7875871705275896</c:v>
                </c:pt>
                <c:pt idx="6">
                  <c:v>0.12389432065807</c:v>
                </c:pt>
                <c:pt idx="7">
                  <c:v>2.1941454897664299</c:v>
                </c:pt>
                <c:pt idx="8">
                  <c:v>2.4264019735688001</c:v>
                </c:pt>
                <c:pt idx="9">
                  <c:v>2.8330956420495199</c:v>
                </c:pt>
                <c:pt idx="10">
                  <c:v>1.26522858579071</c:v>
                </c:pt>
                <c:pt idx="11">
                  <c:v>9.5022857589910803</c:v>
                </c:pt>
                <c:pt idx="12">
                  <c:v>2.7403127904653499</c:v>
                </c:pt>
                <c:pt idx="13">
                  <c:v>2.9656441717794899</c:v>
                </c:pt>
                <c:pt idx="14">
                  <c:v>4.1741396709423704</c:v>
                </c:pt>
                <c:pt idx="15">
                  <c:v>6.5926190589614304</c:v>
                </c:pt>
                <c:pt idx="16">
                  <c:v>2.9463149295920998</c:v>
                </c:pt>
                <c:pt idx="17">
                  <c:v>2.3822168037458198</c:v>
                </c:pt>
                <c:pt idx="18">
                  <c:v>4.3486202388963804</c:v>
                </c:pt>
                <c:pt idx="19">
                  <c:v>3.1181750338378</c:v>
                </c:pt>
                <c:pt idx="20">
                  <c:v>4.5813240910840403</c:v>
                </c:pt>
                <c:pt idx="21">
                  <c:v>3.30502066517144</c:v>
                </c:pt>
                <c:pt idx="22">
                  <c:v>3.22015517220595</c:v>
                </c:pt>
                <c:pt idx="23">
                  <c:v>7.4244904900319604</c:v>
                </c:pt>
                <c:pt idx="24">
                  <c:v>7.1282973436999697</c:v>
                </c:pt>
                <c:pt idx="25">
                  <c:v>2.4561549010427099</c:v>
                </c:pt>
                <c:pt idx="26">
                  <c:v>1.0390485162504799</c:v>
                </c:pt>
                <c:pt idx="27">
                  <c:v>4.5100926791677303</c:v>
                </c:pt>
                <c:pt idx="28">
                  <c:v>6.6446764176995297</c:v>
                </c:pt>
                <c:pt idx="29">
                  <c:v>5.6285576723305102</c:v>
                </c:pt>
                <c:pt idx="30">
                  <c:v>3.27943322719742</c:v>
                </c:pt>
                <c:pt idx="31">
                  <c:v>3.8662918478801802</c:v>
                </c:pt>
              </c:numCache>
            </c:numRef>
          </c:yVal>
          <c:smooth val="0"/>
          <c:extLst>
            <c:ext xmlns:c16="http://schemas.microsoft.com/office/drawing/2014/chart" uri="{C3380CC4-5D6E-409C-BE32-E72D297353CC}">
              <c16:uniqueId val="{00000023-C5B1-483D-952B-7C2956235F38}"/>
            </c:ext>
          </c:extLst>
        </c:ser>
        <c:dLbls>
          <c:dLblPos val="t"/>
          <c:showLegendKey val="0"/>
          <c:showVal val="1"/>
          <c:showCatName val="0"/>
          <c:showSerName val="0"/>
          <c:showPercent val="0"/>
          <c:showBubbleSize val="0"/>
        </c:dLbls>
        <c:axId val="2025683344"/>
        <c:axId val="2025684176"/>
      </c:scatterChart>
      <c:valAx>
        <c:axId val="2025683344"/>
        <c:scaling>
          <c:orientation val="minMax"/>
          <c:min val="0.9"/>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Real primary spending differential</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25684176"/>
        <c:crosses val="autoZero"/>
        <c:crossBetween val="midCat"/>
      </c:valAx>
      <c:valAx>
        <c:axId val="2025684176"/>
        <c:scaling>
          <c:orientation val="minMax"/>
          <c:max val="12"/>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Core inflation differential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2568334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3987635239566E-2"/>
          <c:y val="4.56430732640093E-2"/>
          <c:w val="0.91346728490468831"/>
          <c:h val="0.84918251818767743"/>
        </c:manualLayout>
      </c:layout>
      <c:barChart>
        <c:barDir val="col"/>
        <c:grouping val="clustered"/>
        <c:varyColors val="0"/>
        <c:ser>
          <c:idx val="1"/>
          <c:order val="0"/>
          <c:tx>
            <c:strRef>
              <c:f>'Figure 1.5'!$B$1</c:f>
              <c:strCache>
                <c:ptCount val="1"/>
                <c:pt idx="0">
                  <c:v>Projected as of January 2022</c:v>
                </c:pt>
              </c:strCache>
            </c:strRef>
          </c:tx>
          <c:spPr>
            <a:solidFill>
              <a:srgbClr val="FF0000"/>
            </a:solidFill>
            <a:ln>
              <a:noFill/>
            </a:ln>
            <a:effectLst/>
          </c:spPr>
          <c:invertIfNegative val="0"/>
          <c:cat>
            <c:strRef>
              <c:extLst>
                <c:ext xmlns:c15="http://schemas.microsoft.com/office/drawing/2012/chart" uri="{02D57815-91ED-43cb-92C2-25804820EDAC}">
                  <c15:fullRef>
                    <c15:sqref>'Figure 1.5'!$A$2:$A$13</c15:sqref>
                  </c15:fullRef>
                </c:ext>
              </c:extLst>
              <c:f>('Figure 1.5'!$A$2:$A$5,'Figure 1.5'!$A$7:$A$13)</c:f>
              <c:strCache>
                <c:ptCount val="11"/>
                <c:pt idx="0">
                  <c:v>MEX</c:v>
                </c:pt>
                <c:pt idx="1">
                  <c:v>KOR</c:v>
                </c:pt>
                <c:pt idx="2">
                  <c:v>BRA</c:v>
                </c:pt>
                <c:pt idx="3">
                  <c:v>ITA</c:v>
                </c:pt>
                <c:pt idx="4">
                  <c:v>CAN</c:v>
                </c:pt>
                <c:pt idx="5">
                  <c:v>GBR</c:v>
                </c:pt>
                <c:pt idx="6">
                  <c:v>USA</c:v>
                </c:pt>
                <c:pt idx="7">
                  <c:v>FRA</c:v>
                </c:pt>
                <c:pt idx="8">
                  <c:v>AUS</c:v>
                </c:pt>
                <c:pt idx="9">
                  <c:v>IND</c:v>
                </c:pt>
                <c:pt idx="10">
                  <c:v>JPN</c:v>
                </c:pt>
              </c:strCache>
            </c:strRef>
          </c:cat>
          <c:val>
            <c:numRef>
              <c:extLst>
                <c:ext xmlns:c15="http://schemas.microsoft.com/office/drawing/2012/chart" uri="{02D57815-91ED-43cb-92C2-25804820EDAC}">
                  <c15:fullRef>
                    <c15:sqref>'Figure 1.5'!$B$2:$B$13</c15:sqref>
                  </c15:fullRef>
                </c:ext>
              </c:extLst>
              <c:f>('Figure 1.5'!$B$2:$B$5,'Figure 1.5'!$B$7:$B$13)</c:f>
              <c:numCache>
                <c:formatCode>General</c:formatCode>
                <c:ptCount val="11"/>
                <c:pt idx="0">
                  <c:v>1.6946587193013236E-2</c:v>
                </c:pt>
                <c:pt idx="1">
                  <c:v>-1.1199326088184145</c:v>
                </c:pt>
                <c:pt idx="2">
                  <c:v>-1.4232900013089533</c:v>
                </c:pt>
                <c:pt idx="3">
                  <c:v>-2.0686831400152994</c:v>
                </c:pt>
                <c:pt idx="4">
                  <c:v>-2.8529263233107267</c:v>
                </c:pt>
                <c:pt idx="5">
                  <c:v>-3.0349777463102852</c:v>
                </c:pt>
                <c:pt idx="6">
                  <c:v>-3.5913649998118524</c:v>
                </c:pt>
                <c:pt idx="7">
                  <c:v>-4.2449329311726514</c:v>
                </c:pt>
                <c:pt idx="8">
                  <c:v>-5.319257085588851</c:v>
                </c:pt>
                <c:pt idx="9">
                  <c:v>-5.5132943950405018</c:v>
                </c:pt>
                <c:pt idx="10">
                  <c:v>-6.7490753542968447</c:v>
                </c:pt>
              </c:numCache>
            </c:numRef>
          </c:val>
          <c:extLst>
            <c:ext xmlns:c16="http://schemas.microsoft.com/office/drawing/2014/chart" uri="{C3380CC4-5D6E-409C-BE32-E72D297353CC}">
              <c16:uniqueId val="{00000000-E76F-48A8-AE4D-393758900D8D}"/>
            </c:ext>
          </c:extLst>
        </c:ser>
        <c:ser>
          <c:idx val="2"/>
          <c:order val="1"/>
          <c:tx>
            <c:strRef>
              <c:f>'Figure 1.5'!$C$1</c:f>
              <c:strCache>
                <c:ptCount val="1"/>
                <c:pt idx="0">
                  <c:v>April 2023</c:v>
                </c:pt>
              </c:strCache>
            </c:strRef>
          </c:tx>
          <c:spPr>
            <a:solidFill>
              <a:schemeClr val="accent4"/>
            </a:solidFill>
            <a:ln>
              <a:noFill/>
            </a:ln>
            <a:effectLst/>
          </c:spPr>
          <c:invertIfNegative val="0"/>
          <c:cat>
            <c:strRef>
              <c:extLst>
                <c:ext xmlns:c15="http://schemas.microsoft.com/office/drawing/2012/chart" uri="{02D57815-91ED-43cb-92C2-25804820EDAC}">
                  <c15:fullRef>
                    <c15:sqref>'Figure 1.5'!$A$2:$A$13</c15:sqref>
                  </c15:fullRef>
                </c:ext>
              </c:extLst>
              <c:f>('Figure 1.5'!$A$2:$A$5,'Figure 1.5'!$A$7:$A$13)</c:f>
              <c:strCache>
                <c:ptCount val="11"/>
                <c:pt idx="0">
                  <c:v>MEX</c:v>
                </c:pt>
                <c:pt idx="1">
                  <c:v>KOR</c:v>
                </c:pt>
                <c:pt idx="2">
                  <c:v>BRA</c:v>
                </c:pt>
                <c:pt idx="3">
                  <c:v>ITA</c:v>
                </c:pt>
                <c:pt idx="4">
                  <c:v>CAN</c:v>
                </c:pt>
                <c:pt idx="5">
                  <c:v>GBR</c:v>
                </c:pt>
                <c:pt idx="6">
                  <c:v>USA</c:v>
                </c:pt>
                <c:pt idx="7">
                  <c:v>FRA</c:v>
                </c:pt>
                <c:pt idx="8">
                  <c:v>AUS</c:v>
                </c:pt>
                <c:pt idx="9">
                  <c:v>IND</c:v>
                </c:pt>
                <c:pt idx="10">
                  <c:v>JPN</c:v>
                </c:pt>
              </c:strCache>
            </c:strRef>
          </c:cat>
          <c:val>
            <c:numRef>
              <c:extLst>
                <c:ext xmlns:c15="http://schemas.microsoft.com/office/drawing/2012/chart" uri="{02D57815-91ED-43cb-92C2-25804820EDAC}">
                  <c15:fullRef>
                    <c15:sqref>'Figure 1.5'!$C$2:$C$13</c15:sqref>
                  </c15:fullRef>
                </c:ext>
              </c:extLst>
              <c:f>('Figure 1.5'!$C$2:$C$5,'Figure 1.5'!$C$7:$C$13)</c:f>
              <c:numCache>
                <c:formatCode>General</c:formatCode>
                <c:ptCount val="11"/>
                <c:pt idx="0">
                  <c:v>-5.8549765962691021E-2</c:v>
                </c:pt>
                <c:pt idx="1">
                  <c:v>-1.1645958536603536</c:v>
                </c:pt>
                <c:pt idx="2">
                  <c:v>1.3395024608853012</c:v>
                </c:pt>
                <c:pt idx="3">
                  <c:v>-3.8489319609271759</c:v>
                </c:pt>
                <c:pt idx="4">
                  <c:v>-1.2506108356590868</c:v>
                </c:pt>
                <c:pt idx="5">
                  <c:v>-2.7383118355089486</c:v>
                </c:pt>
                <c:pt idx="6">
                  <c:v>-3.4138999748922454</c:v>
                </c:pt>
                <c:pt idx="7">
                  <c:v>-3.010632569150212</c:v>
                </c:pt>
                <c:pt idx="8">
                  <c:v>-2.2960439054671578</c:v>
                </c:pt>
                <c:pt idx="9">
                  <c:v>-4.4187076435634021</c:v>
                </c:pt>
                <c:pt idx="10">
                  <c:v>-7.4726327232906371</c:v>
                </c:pt>
              </c:numCache>
            </c:numRef>
          </c:val>
          <c:extLst>
            <c:ext xmlns:c16="http://schemas.microsoft.com/office/drawing/2014/chart" uri="{C3380CC4-5D6E-409C-BE32-E72D297353CC}">
              <c16:uniqueId val="{00000001-E76F-48A8-AE4D-393758900D8D}"/>
            </c:ext>
          </c:extLst>
        </c:ser>
        <c:dLbls>
          <c:showLegendKey val="0"/>
          <c:showVal val="0"/>
          <c:showCatName val="0"/>
          <c:showSerName val="0"/>
          <c:showPercent val="0"/>
          <c:showBubbleSize val="0"/>
        </c:dLbls>
        <c:gapWidth val="150"/>
        <c:axId val="1420707951"/>
        <c:axId val="1420712111"/>
      </c:barChart>
      <c:catAx>
        <c:axId val="14207079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1420712111"/>
        <c:crosses val="autoZero"/>
        <c:auto val="1"/>
        <c:lblAlgn val="ctr"/>
        <c:lblOffset val="100"/>
        <c:noMultiLvlLbl val="0"/>
      </c:catAx>
      <c:valAx>
        <c:axId val="1420712111"/>
        <c:scaling>
          <c:orientation val="minMax"/>
          <c:max val="4"/>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crossAx val="1420707951"/>
        <c:crosses val="autoZero"/>
        <c:crossBetween val="between"/>
      </c:valAx>
      <c:spPr>
        <a:noFill/>
        <a:ln>
          <a:noFill/>
        </a:ln>
        <a:effectLst/>
      </c:spPr>
    </c:plotArea>
    <c:legend>
      <c:legendPos val="b"/>
      <c:layout>
        <c:manualLayout>
          <c:xMode val="edge"/>
          <c:yMode val="edge"/>
          <c:x val="0.13020157642582159"/>
          <c:y val="5.0119522426118827E-2"/>
          <c:w val="0.81058290433943048"/>
          <c:h val="0.2154108939077623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HelveticaNeueLT Std"/>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2.png"/><Relationship Id="rId4"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image" Target="../media/image5.pn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3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49.xml"/><Relationship Id="rId7" Type="http://schemas.openxmlformats.org/officeDocument/2006/relationships/image" Target="../media/image6.png"/><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5.xml"/><Relationship Id="rId7" Type="http://schemas.openxmlformats.org/officeDocument/2006/relationships/image" Target="../media/image8.pn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image" Target="../media/image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62.xml"/></Relationships>
</file>

<file path=xl/drawings/_rels/drawing4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64.xml"/><Relationship Id="rId1" Type="http://schemas.openxmlformats.org/officeDocument/2006/relationships/chart" Target="../charts/chart63.xml"/></Relationships>
</file>

<file path=xl/drawings/_rels/drawing4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6.xml"/><Relationship Id="rId1" Type="http://schemas.openxmlformats.org/officeDocument/2006/relationships/chart" Target="../charts/chart65.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image" Target="../media/image13.png"/><Relationship Id="rId4" Type="http://schemas.openxmlformats.org/officeDocument/2006/relationships/chart" Target="../charts/chart70.xml"/><Relationship Id="rId9"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14.png"/><Relationship Id="rId4" Type="http://schemas.openxmlformats.org/officeDocument/2006/relationships/chart" Target="../charts/chart79.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80.xml"/></Relationships>
</file>

<file path=xl/drawings/_rels/drawing4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82.xml"/><Relationship Id="rId1" Type="http://schemas.openxmlformats.org/officeDocument/2006/relationships/chart" Target="../charts/chart81.xml"/></Relationships>
</file>

<file path=xl/drawings/_rels/drawing4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84.xml"/><Relationship Id="rId1" Type="http://schemas.openxmlformats.org/officeDocument/2006/relationships/chart" Target="../charts/chart83.xml"/><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8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6</xdr:col>
      <xdr:colOff>11207</xdr:colOff>
      <xdr:row>8</xdr:row>
      <xdr:rowOff>56031</xdr:rowOff>
    </xdr:from>
    <xdr:to>
      <xdr:col>8</xdr:col>
      <xdr:colOff>35656</xdr:colOff>
      <xdr:row>19</xdr:row>
      <xdr:rowOff>22412</xdr:rowOff>
    </xdr:to>
    <xdr:pic>
      <xdr:nvPicPr>
        <xdr:cNvPr id="2" name="Picture 1">
          <a:extLst>
            <a:ext uri="{FF2B5EF4-FFF2-40B4-BE49-F238E27FC236}">
              <a16:creationId xmlns:a16="http://schemas.microsoft.com/office/drawing/2014/main" id="{75DCAE44-9854-4198-906D-87580EE866AE}"/>
            </a:ext>
          </a:extLst>
        </xdr:cNvPr>
        <xdr:cNvPicPr>
          <a:picLocks noChangeAspect="1"/>
        </xdr:cNvPicPr>
      </xdr:nvPicPr>
      <xdr:blipFill>
        <a:blip xmlns:r="http://schemas.openxmlformats.org/officeDocument/2006/relationships" r:embed="rId1"/>
        <a:stretch>
          <a:fillRect/>
        </a:stretch>
      </xdr:blipFill>
      <xdr:spPr>
        <a:xfrm>
          <a:off x="4211732" y="1589556"/>
          <a:ext cx="1586549" cy="20618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2499</xdr:colOff>
      <xdr:row>16</xdr:row>
      <xdr:rowOff>116759</xdr:rowOff>
    </xdr:from>
    <xdr:to>
      <xdr:col>14</xdr:col>
      <xdr:colOff>2501</xdr:colOff>
      <xdr:row>41</xdr:row>
      <xdr:rowOff>31716</xdr:rowOff>
    </xdr:to>
    <xdr:graphicFrame macro="">
      <xdr:nvGraphicFramePr>
        <xdr:cNvPr id="2" name="Chart 1">
          <a:extLst>
            <a:ext uri="{FF2B5EF4-FFF2-40B4-BE49-F238E27FC236}">
              <a16:creationId xmlns:a16="http://schemas.microsoft.com/office/drawing/2014/main" id="{88C126C1-460E-4734-A76D-0DC88D1C9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1709059" y="2838451"/>
    <xdr:ext cx="6455227" cy="4808764"/>
    <xdr:graphicFrame macro="">
      <xdr:nvGraphicFramePr>
        <xdr:cNvPr id="2" name="Chart 1">
          <a:extLst>
            <a:ext uri="{FF2B5EF4-FFF2-40B4-BE49-F238E27FC236}">
              <a16:creationId xmlns:a16="http://schemas.microsoft.com/office/drawing/2014/main" id="{33B6E50E-CBFC-448B-84AC-0837B415CF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xdr:from>
      <xdr:col>5</xdr:col>
      <xdr:colOff>341778</xdr:colOff>
      <xdr:row>4</xdr:row>
      <xdr:rowOff>68356</xdr:rowOff>
    </xdr:from>
    <xdr:to>
      <xdr:col>15</xdr:col>
      <xdr:colOff>246529</xdr:colOff>
      <xdr:row>31</xdr:row>
      <xdr:rowOff>123264</xdr:rowOff>
    </xdr:to>
    <xdr:graphicFrame macro="">
      <xdr:nvGraphicFramePr>
        <xdr:cNvPr id="2" name="Chart 1">
          <a:extLst>
            <a:ext uri="{FF2B5EF4-FFF2-40B4-BE49-F238E27FC236}">
              <a16:creationId xmlns:a16="http://schemas.microsoft.com/office/drawing/2014/main" id="{1212BA2C-562E-4495-AB48-4BFEB3270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66675</xdr:colOff>
      <xdr:row>20</xdr:row>
      <xdr:rowOff>28575</xdr:rowOff>
    </xdr:from>
    <xdr:to>
      <xdr:col>14</xdr:col>
      <xdr:colOff>371475</xdr:colOff>
      <xdr:row>39</xdr:row>
      <xdr:rowOff>28575</xdr:rowOff>
    </xdr:to>
    <xdr:graphicFrame macro="">
      <xdr:nvGraphicFramePr>
        <xdr:cNvPr id="2" name="Chart 1">
          <a:extLst>
            <a:ext uri="{FF2B5EF4-FFF2-40B4-BE49-F238E27FC236}">
              <a16:creationId xmlns:a16="http://schemas.microsoft.com/office/drawing/2014/main" id="{7327DB58-025C-4E33-9868-ACE493292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581025</xdr:colOff>
      <xdr:row>19</xdr:row>
      <xdr:rowOff>38100</xdr:rowOff>
    </xdr:from>
    <xdr:to>
      <xdr:col>7</xdr:col>
      <xdr:colOff>66675</xdr:colOff>
      <xdr:row>40</xdr:row>
      <xdr:rowOff>0</xdr:rowOff>
    </xdr:to>
    <xdr:graphicFrame macro="">
      <xdr:nvGraphicFramePr>
        <xdr:cNvPr id="2" name="Chart 1">
          <a:extLst>
            <a:ext uri="{FF2B5EF4-FFF2-40B4-BE49-F238E27FC236}">
              <a16:creationId xmlns:a16="http://schemas.microsoft.com/office/drawing/2014/main" id="{216D561F-8A92-4251-BB5D-4D63800AF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0</xdr:rowOff>
    </xdr:from>
    <xdr:to>
      <xdr:col>7</xdr:col>
      <xdr:colOff>99034</xdr:colOff>
      <xdr:row>19</xdr:row>
      <xdr:rowOff>114431</xdr:rowOff>
    </xdr:to>
    <xdr:sp macro="" textlink="">
      <xdr:nvSpPr>
        <xdr:cNvPr id="3" name="TextBox 2">
          <a:extLst>
            <a:ext uri="{FF2B5EF4-FFF2-40B4-BE49-F238E27FC236}">
              <a16:creationId xmlns:a16="http://schemas.microsoft.com/office/drawing/2014/main" id="{60DA2CC3-8A14-465C-AFBD-76CF90A9D964}"/>
            </a:ext>
          </a:extLst>
        </xdr:cNvPr>
        <xdr:cNvSpPr txBox="1"/>
      </xdr:nvSpPr>
      <xdr:spPr>
        <a:xfrm>
          <a:off x="609600" y="4333875"/>
          <a:ext cx="4766284" cy="600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300" b="1" i="0" u="none" strike="noStrike" baseline="0">
              <a:solidFill>
                <a:srgbClr val="800080"/>
              </a:solidFill>
              <a:latin typeface="HelveticaNeueLT Std"/>
            </a:rPr>
            <a:t>Drivers of Change in General Government Debt, 2019-20</a:t>
          </a:r>
        </a:p>
        <a:p>
          <a:pPr algn="l" rtl="0">
            <a:defRPr sz="1000"/>
          </a:pPr>
          <a:r>
            <a:rPr lang="en-US" sz="1300" b="0" i="1" u="none" strike="noStrike" baseline="0">
              <a:solidFill>
                <a:srgbClr val="800080"/>
              </a:solidFill>
              <a:latin typeface="HelveticaNeueLT Std"/>
            </a:rPr>
            <a:t>(Percent of GDP)</a:t>
          </a:r>
        </a:p>
      </xdr:txBody>
    </xdr:sp>
    <xdr:clientData/>
  </xdr:twoCellAnchor>
  <xdr:twoCellAnchor>
    <xdr:from>
      <xdr:col>8</xdr:col>
      <xdr:colOff>0</xdr:colOff>
      <xdr:row>19</xdr:row>
      <xdr:rowOff>0</xdr:rowOff>
    </xdr:from>
    <xdr:to>
      <xdr:col>14</xdr:col>
      <xdr:colOff>390525</xdr:colOff>
      <xdr:row>40</xdr:row>
      <xdr:rowOff>66675</xdr:rowOff>
    </xdr:to>
    <xdr:graphicFrame macro="">
      <xdr:nvGraphicFramePr>
        <xdr:cNvPr id="4" name="Chart 3">
          <a:extLst>
            <a:ext uri="{FF2B5EF4-FFF2-40B4-BE49-F238E27FC236}">
              <a16:creationId xmlns:a16="http://schemas.microsoft.com/office/drawing/2014/main" id="{CF98B8FA-7A14-4361-8826-A2D6687B1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16</xdr:row>
      <xdr:rowOff>0</xdr:rowOff>
    </xdr:from>
    <xdr:to>
      <xdr:col>15</xdr:col>
      <xdr:colOff>108559</xdr:colOff>
      <xdr:row>19</xdr:row>
      <xdr:rowOff>114431</xdr:rowOff>
    </xdr:to>
    <xdr:sp macro="" textlink="">
      <xdr:nvSpPr>
        <xdr:cNvPr id="5" name="TextBox 4">
          <a:extLst>
            <a:ext uri="{FF2B5EF4-FFF2-40B4-BE49-F238E27FC236}">
              <a16:creationId xmlns:a16="http://schemas.microsoft.com/office/drawing/2014/main" id="{E60CF1DD-53C2-44D7-ACEF-E7C136BE766B}"/>
            </a:ext>
          </a:extLst>
        </xdr:cNvPr>
        <xdr:cNvSpPr txBox="1"/>
      </xdr:nvSpPr>
      <xdr:spPr>
        <a:xfrm>
          <a:off x="5886450" y="4333875"/>
          <a:ext cx="5032984" cy="600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300" b="1" i="0" u="none" strike="noStrike" baseline="0">
              <a:solidFill>
                <a:srgbClr val="800080"/>
              </a:solidFill>
              <a:latin typeface="HelveticaNeueLT Std"/>
            </a:rPr>
            <a:t>Drivers of Change in General Government Debt, 2020-21</a:t>
          </a:r>
        </a:p>
        <a:p>
          <a:pPr algn="l" rtl="0">
            <a:defRPr sz="1000"/>
          </a:pPr>
          <a:r>
            <a:rPr lang="en-US" sz="1300" b="0" i="1" u="none" strike="noStrike" baseline="0">
              <a:solidFill>
                <a:srgbClr val="800080"/>
              </a:solidFill>
              <a:latin typeface="HelveticaNeueLT Std"/>
            </a:rPr>
            <a:t>(Percent of GDP)</a:t>
          </a:r>
        </a:p>
      </xdr:txBody>
    </xdr:sp>
    <xdr:clientData/>
  </xdr:twoCellAnchor>
  <xdr:twoCellAnchor>
    <xdr:from>
      <xdr:col>15</xdr:col>
      <xdr:colOff>0</xdr:colOff>
      <xdr:row>16</xdr:row>
      <xdr:rowOff>0</xdr:rowOff>
    </xdr:from>
    <xdr:to>
      <xdr:col>23</xdr:col>
      <xdr:colOff>156184</xdr:colOff>
      <xdr:row>19</xdr:row>
      <xdr:rowOff>114431</xdr:rowOff>
    </xdr:to>
    <xdr:sp macro="" textlink="">
      <xdr:nvSpPr>
        <xdr:cNvPr id="6" name="TextBox 5">
          <a:extLst>
            <a:ext uri="{FF2B5EF4-FFF2-40B4-BE49-F238E27FC236}">
              <a16:creationId xmlns:a16="http://schemas.microsoft.com/office/drawing/2014/main" id="{279F4293-5FF5-485C-8CDD-5F0805FA0258}"/>
            </a:ext>
          </a:extLst>
        </xdr:cNvPr>
        <xdr:cNvSpPr txBox="1"/>
      </xdr:nvSpPr>
      <xdr:spPr>
        <a:xfrm>
          <a:off x="10810875" y="4333875"/>
          <a:ext cx="5032984" cy="600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300" b="1" i="0" u="none" strike="noStrike" baseline="0">
              <a:solidFill>
                <a:srgbClr val="800080"/>
              </a:solidFill>
              <a:latin typeface="HelveticaNeueLT Std"/>
            </a:rPr>
            <a:t>Drivers of Change in General Government Debt, 2021-22</a:t>
          </a:r>
        </a:p>
        <a:p>
          <a:pPr algn="l" rtl="0">
            <a:defRPr sz="1000"/>
          </a:pPr>
          <a:r>
            <a:rPr lang="en-US" sz="1300" b="0" i="1" u="none" strike="noStrike" baseline="0">
              <a:solidFill>
                <a:srgbClr val="800080"/>
              </a:solidFill>
              <a:latin typeface="HelveticaNeueLT Std"/>
            </a:rPr>
            <a:t>(Percent of GDP)</a:t>
          </a:r>
        </a:p>
      </xdr:txBody>
    </xdr:sp>
    <xdr:clientData/>
  </xdr:twoCellAnchor>
  <xdr:twoCellAnchor>
    <xdr:from>
      <xdr:col>14</xdr:col>
      <xdr:colOff>600075</xdr:colOff>
      <xdr:row>19</xdr:row>
      <xdr:rowOff>95250</xdr:rowOff>
    </xdr:from>
    <xdr:to>
      <xdr:col>22</xdr:col>
      <xdr:colOff>419100</xdr:colOff>
      <xdr:row>41</xdr:row>
      <xdr:rowOff>0</xdr:rowOff>
    </xdr:to>
    <xdr:graphicFrame macro="">
      <xdr:nvGraphicFramePr>
        <xdr:cNvPr id="7" name="Chart 6">
          <a:extLst>
            <a:ext uri="{FF2B5EF4-FFF2-40B4-BE49-F238E27FC236}">
              <a16:creationId xmlns:a16="http://schemas.microsoft.com/office/drawing/2014/main" id="{C59313D0-2B2D-46F8-858B-4CEE72385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609600</xdr:colOff>
      <xdr:row>16</xdr:row>
      <xdr:rowOff>161925</xdr:rowOff>
    </xdr:from>
    <xdr:to>
      <xdr:col>8</xdr:col>
      <xdr:colOff>866775</xdr:colOff>
      <xdr:row>41</xdr:row>
      <xdr:rowOff>28575</xdr:rowOff>
    </xdr:to>
    <xdr:graphicFrame macro="">
      <xdr:nvGraphicFramePr>
        <xdr:cNvPr id="2" name="Chart 1">
          <a:extLst>
            <a:ext uri="{FF2B5EF4-FFF2-40B4-BE49-F238E27FC236}">
              <a16:creationId xmlns:a16="http://schemas.microsoft.com/office/drawing/2014/main" id="{8059831E-CC03-4C56-AA0E-CCB34AC89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13</xdr:row>
      <xdr:rowOff>124884</xdr:rowOff>
    </xdr:from>
    <xdr:to>
      <xdr:col>8</xdr:col>
      <xdr:colOff>1013883</xdr:colOff>
      <xdr:row>17</xdr:row>
      <xdr:rowOff>63501</xdr:rowOff>
    </xdr:to>
    <xdr:sp macro="" textlink="">
      <xdr:nvSpPr>
        <xdr:cNvPr id="3" name="TextBox 2">
          <a:extLst>
            <a:ext uri="{FF2B5EF4-FFF2-40B4-BE49-F238E27FC236}">
              <a16:creationId xmlns:a16="http://schemas.microsoft.com/office/drawing/2014/main" id="{AACE17DA-7168-4645-B398-47825657F841}"/>
            </a:ext>
          </a:extLst>
        </xdr:cNvPr>
        <xdr:cNvSpPr txBox="1"/>
      </xdr:nvSpPr>
      <xdr:spPr>
        <a:xfrm>
          <a:off x="714375" y="2525184"/>
          <a:ext cx="5747808" cy="586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200" b="1" i="0" u="none" strike="noStrike" baseline="0">
              <a:solidFill>
                <a:srgbClr val="7030A0"/>
              </a:solidFill>
              <a:latin typeface="HelveticaNeueLT Std"/>
            </a:rPr>
            <a:t>Figure 1.11. Drivers of Annual Change in General Government Debt, 2022</a:t>
          </a:r>
        </a:p>
        <a:p>
          <a:pPr algn="l" rtl="0">
            <a:defRPr sz="1000"/>
          </a:pPr>
          <a:r>
            <a:rPr lang="en-US" sz="1200" b="0" i="1" u="none" strike="noStrike" baseline="0">
              <a:solidFill>
                <a:srgbClr val="7030A0"/>
              </a:solidFill>
              <a:latin typeface="HelveticaNeueLT Std"/>
            </a:rPr>
            <a:t>(Percent of GDP)</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25399</xdr:colOff>
      <xdr:row>14</xdr:row>
      <xdr:rowOff>40217</xdr:rowOff>
    </xdr:from>
    <xdr:to>
      <xdr:col>9</xdr:col>
      <xdr:colOff>511175</xdr:colOff>
      <xdr:row>35</xdr:row>
      <xdr:rowOff>24342</xdr:rowOff>
    </xdr:to>
    <xdr:graphicFrame macro="">
      <xdr:nvGraphicFramePr>
        <xdr:cNvPr id="2" name="Chart 1">
          <a:extLst>
            <a:ext uri="{FF2B5EF4-FFF2-40B4-BE49-F238E27FC236}">
              <a16:creationId xmlns:a16="http://schemas.microsoft.com/office/drawing/2014/main" id="{7C3E4EE1-A330-4EAE-8D4B-DF0E15A76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482976</xdr:colOff>
      <xdr:row>14</xdr:row>
      <xdr:rowOff>133352</xdr:rowOff>
    </xdr:from>
    <xdr:to>
      <xdr:col>21</xdr:col>
      <xdr:colOff>67237</xdr:colOff>
      <xdr:row>32</xdr:row>
      <xdr:rowOff>156884</xdr:rowOff>
    </xdr:to>
    <xdr:graphicFrame macro="">
      <xdr:nvGraphicFramePr>
        <xdr:cNvPr id="3" name="Chart 2">
          <a:extLst>
            <a:ext uri="{FF2B5EF4-FFF2-40B4-BE49-F238E27FC236}">
              <a16:creationId xmlns:a16="http://schemas.microsoft.com/office/drawing/2014/main" id="{11EFE7F0-07AE-44B2-9420-14027D71A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364674</xdr:colOff>
      <xdr:row>8</xdr:row>
      <xdr:rowOff>17009</xdr:rowOff>
    </xdr:from>
    <xdr:to>
      <xdr:col>9</xdr:col>
      <xdr:colOff>7633607</xdr:colOff>
      <xdr:row>36</xdr:row>
      <xdr:rowOff>13607</xdr:rowOff>
    </xdr:to>
    <xdr:graphicFrame macro="">
      <xdr:nvGraphicFramePr>
        <xdr:cNvPr id="2" name="Chart 1">
          <a:extLst>
            <a:ext uri="{FF2B5EF4-FFF2-40B4-BE49-F238E27FC236}">
              <a16:creationId xmlns:a16="http://schemas.microsoft.com/office/drawing/2014/main" id="{6E63D854-73F2-4328-8DE4-550B4C445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457199</xdr:colOff>
      <xdr:row>7</xdr:row>
      <xdr:rowOff>23812</xdr:rowOff>
    </xdr:from>
    <xdr:to>
      <xdr:col>10</xdr:col>
      <xdr:colOff>238124</xdr:colOff>
      <xdr:row>27</xdr:row>
      <xdr:rowOff>57150</xdr:rowOff>
    </xdr:to>
    <xdr:graphicFrame macro="">
      <xdr:nvGraphicFramePr>
        <xdr:cNvPr id="2" name="Chart 1">
          <a:extLst>
            <a:ext uri="{FF2B5EF4-FFF2-40B4-BE49-F238E27FC236}">
              <a16:creationId xmlns:a16="http://schemas.microsoft.com/office/drawing/2014/main" id="{1442EB13-0821-4909-8C0E-C4AE08ACF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548988</xdr:colOff>
      <xdr:row>18</xdr:row>
      <xdr:rowOff>112568</xdr:rowOff>
    </xdr:from>
    <xdr:to>
      <xdr:col>11</xdr:col>
      <xdr:colOff>0</xdr:colOff>
      <xdr:row>37</xdr:row>
      <xdr:rowOff>147203</xdr:rowOff>
    </xdr:to>
    <xdr:graphicFrame macro="">
      <xdr:nvGraphicFramePr>
        <xdr:cNvPr id="2" name="Chart 1">
          <a:extLst>
            <a:ext uri="{FF2B5EF4-FFF2-40B4-BE49-F238E27FC236}">
              <a16:creationId xmlns:a16="http://schemas.microsoft.com/office/drawing/2014/main" id="{C7BBB30A-E8FA-4087-97A7-C411C43DD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342899</xdr:colOff>
      <xdr:row>15</xdr:row>
      <xdr:rowOff>66675</xdr:rowOff>
    </xdr:from>
    <xdr:to>
      <xdr:col>25</xdr:col>
      <xdr:colOff>504825</xdr:colOff>
      <xdr:row>36</xdr:row>
      <xdr:rowOff>133350</xdr:rowOff>
    </xdr:to>
    <xdr:graphicFrame macro="">
      <xdr:nvGraphicFramePr>
        <xdr:cNvPr id="3" name="Chart 2">
          <a:extLst>
            <a:ext uri="{FF2B5EF4-FFF2-40B4-BE49-F238E27FC236}">
              <a16:creationId xmlns:a16="http://schemas.microsoft.com/office/drawing/2014/main" id="{9F1AAFE1-673D-4E2A-982B-CD214B85B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18512</xdr:colOff>
      <xdr:row>7</xdr:row>
      <xdr:rowOff>183931</xdr:rowOff>
    </xdr:from>
    <xdr:to>
      <xdr:col>6</xdr:col>
      <xdr:colOff>685071</xdr:colOff>
      <xdr:row>22</xdr:row>
      <xdr:rowOff>8253</xdr:rowOff>
    </xdr:to>
    <xdr:pic>
      <xdr:nvPicPr>
        <xdr:cNvPr id="2" name="Picture 1">
          <a:extLst>
            <a:ext uri="{FF2B5EF4-FFF2-40B4-BE49-F238E27FC236}">
              <a16:creationId xmlns:a16="http://schemas.microsoft.com/office/drawing/2014/main" id="{B7920230-1822-4FAF-936D-ADA8C9E19903}"/>
            </a:ext>
          </a:extLst>
        </xdr:cNvPr>
        <xdr:cNvPicPr>
          <a:picLocks noChangeAspect="1"/>
        </xdr:cNvPicPr>
      </xdr:nvPicPr>
      <xdr:blipFill>
        <a:blip xmlns:r="http://schemas.openxmlformats.org/officeDocument/2006/relationships" r:embed="rId1"/>
        <a:stretch>
          <a:fillRect/>
        </a:stretch>
      </xdr:blipFill>
      <xdr:spPr>
        <a:xfrm>
          <a:off x="2742662" y="1526956"/>
          <a:ext cx="2076259" cy="26818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574675</xdr:colOff>
      <xdr:row>2</xdr:row>
      <xdr:rowOff>50800</xdr:rowOff>
    </xdr:from>
    <xdr:to>
      <xdr:col>23</xdr:col>
      <xdr:colOff>123825</xdr:colOff>
      <xdr:row>27</xdr:row>
      <xdr:rowOff>47625</xdr:rowOff>
    </xdr:to>
    <xdr:graphicFrame macro="">
      <xdr:nvGraphicFramePr>
        <xdr:cNvPr id="2" name="Chart 1">
          <a:extLst>
            <a:ext uri="{FF2B5EF4-FFF2-40B4-BE49-F238E27FC236}">
              <a16:creationId xmlns:a16="http://schemas.microsoft.com/office/drawing/2014/main" id="{9C126663-A48C-4951-98FB-05E472567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542925</xdr:colOff>
      <xdr:row>2</xdr:row>
      <xdr:rowOff>57150</xdr:rowOff>
    </xdr:from>
    <xdr:to>
      <xdr:col>19</xdr:col>
      <xdr:colOff>190500</xdr:colOff>
      <xdr:row>21</xdr:row>
      <xdr:rowOff>57150</xdr:rowOff>
    </xdr:to>
    <xdr:graphicFrame macro="">
      <xdr:nvGraphicFramePr>
        <xdr:cNvPr id="2" name="Chart 3">
          <a:extLst>
            <a:ext uri="{FF2B5EF4-FFF2-40B4-BE49-F238E27FC236}">
              <a16:creationId xmlns:a16="http://schemas.microsoft.com/office/drawing/2014/main" id="{F9AA3F84-581A-475F-BF5B-CCF7F78F0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224992</xdr:colOff>
      <xdr:row>4</xdr:row>
      <xdr:rowOff>99983</xdr:rowOff>
    </xdr:from>
    <xdr:to>
      <xdr:col>14</xdr:col>
      <xdr:colOff>368593</xdr:colOff>
      <xdr:row>19</xdr:row>
      <xdr:rowOff>124081</xdr:rowOff>
    </xdr:to>
    <xdr:grpSp>
      <xdr:nvGrpSpPr>
        <xdr:cNvPr id="2" name="Group 1">
          <a:extLst>
            <a:ext uri="{FF2B5EF4-FFF2-40B4-BE49-F238E27FC236}">
              <a16:creationId xmlns:a16="http://schemas.microsoft.com/office/drawing/2014/main" id="{C6FE9325-E591-4F54-8DDA-96D848E47B6F}"/>
            </a:ext>
          </a:extLst>
        </xdr:cNvPr>
        <xdr:cNvGrpSpPr/>
      </xdr:nvGrpSpPr>
      <xdr:grpSpPr>
        <a:xfrm>
          <a:off x="7654492" y="861983"/>
          <a:ext cx="3191601" cy="2881598"/>
          <a:chOff x="4440077" y="552512"/>
          <a:chExt cx="2770987" cy="2596504"/>
        </a:xfrm>
      </xdr:grpSpPr>
      <xdr:graphicFrame macro="">
        <xdr:nvGraphicFramePr>
          <xdr:cNvPr id="3" name="Chart 2">
            <a:extLst>
              <a:ext uri="{FF2B5EF4-FFF2-40B4-BE49-F238E27FC236}">
                <a16:creationId xmlns:a16="http://schemas.microsoft.com/office/drawing/2014/main" id="{E38644FE-0A72-297C-422E-89FCBF1AE0C6}"/>
              </a:ext>
            </a:extLst>
          </xdr:cNvPr>
          <xdr:cNvGraphicFramePr>
            <a:graphicFrameLocks/>
          </xdr:cNvGraphicFramePr>
        </xdr:nvGraphicFramePr>
        <xdr:xfrm>
          <a:off x="4440077" y="552512"/>
          <a:ext cx="2770987" cy="2596504"/>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48908FB1-95AB-2BAA-FF73-C3EB07FB9B78}"/>
              </a:ext>
            </a:extLst>
          </xdr:cNvPr>
          <xdr:cNvGrpSpPr/>
        </xdr:nvGrpSpPr>
        <xdr:grpSpPr>
          <a:xfrm>
            <a:off x="6422397" y="1213887"/>
            <a:ext cx="341246" cy="890617"/>
            <a:chOff x="7928371" y="1182944"/>
            <a:chExt cx="341246" cy="694498"/>
          </a:xfrm>
        </xdr:grpSpPr>
        <xdr:sp macro="" textlink="">
          <xdr:nvSpPr>
            <xdr:cNvPr id="5" name="TextBox 4">
              <a:extLst>
                <a:ext uri="{FF2B5EF4-FFF2-40B4-BE49-F238E27FC236}">
                  <a16:creationId xmlns:a16="http://schemas.microsoft.com/office/drawing/2014/main" id="{751BA8C4-399E-81E9-3FD0-95C23AA06178}"/>
                </a:ext>
              </a:extLst>
            </xdr:cNvPr>
            <xdr:cNvSpPr txBox="1"/>
          </xdr:nvSpPr>
          <xdr:spPr>
            <a:xfrm>
              <a:off x="7961989" y="1182944"/>
              <a:ext cx="248479" cy="251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Segoe UI" panose="020B0502040204020203" pitchFamily="34" charset="0"/>
                  <a:cs typeface="Segoe UI" panose="020B0502040204020203" pitchFamily="34" charset="0"/>
                </a:rPr>
                <a:t>•</a:t>
              </a:r>
            </a:p>
          </xdr:txBody>
        </xdr:sp>
        <xdr:sp macro="" textlink="">
          <xdr:nvSpPr>
            <xdr:cNvPr id="6" name="TextBox 5">
              <a:extLst>
                <a:ext uri="{FF2B5EF4-FFF2-40B4-BE49-F238E27FC236}">
                  <a16:creationId xmlns:a16="http://schemas.microsoft.com/office/drawing/2014/main" id="{CE0EAE65-80C9-4306-5FA0-5A9D4B988266}"/>
                </a:ext>
              </a:extLst>
            </xdr:cNvPr>
            <xdr:cNvSpPr txBox="1"/>
          </xdr:nvSpPr>
          <xdr:spPr>
            <a:xfrm>
              <a:off x="7944596" y="1301276"/>
              <a:ext cx="315569" cy="355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Segoe UI" panose="020B0502040204020203" pitchFamily="34" charset="0"/>
                  <a:cs typeface="Segoe UI" panose="020B0502040204020203" pitchFamily="34" charset="0"/>
                </a:rPr>
                <a:t>•</a:t>
              </a:r>
            </a:p>
          </xdr:txBody>
        </xdr:sp>
        <xdr:sp macro="" textlink="">
          <xdr:nvSpPr>
            <xdr:cNvPr id="7" name="TextBox 6">
              <a:extLst>
                <a:ext uri="{FF2B5EF4-FFF2-40B4-BE49-F238E27FC236}">
                  <a16:creationId xmlns:a16="http://schemas.microsoft.com/office/drawing/2014/main" id="{D38E725C-9432-5117-E4AD-CAF5D4E78957}"/>
                </a:ext>
              </a:extLst>
            </xdr:cNvPr>
            <xdr:cNvSpPr txBox="1"/>
          </xdr:nvSpPr>
          <xdr:spPr>
            <a:xfrm>
              <a:off x="7928371" y="1449552"/>
              <a:ext cx="341246" cy="42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latin typeface="Segoe UI" panose="020B0502040204020203" pitchFamily="34" charset="0"/>
                  <a:cs typeface="Segoe UI" panose="020B0502040204020203" pitchFamily="34" charset="0"/>
                </a:rPr>
                <a:t>•</a:t>
              </a:r>
            </a:p>
          </xdr:txBody>
        </xdr:sp>
      </xdr:grpSp>
    </xdr:grpSp>
    <xdr:clientData/>
  </xdr:twoCellAnchor>
  <xdr:twoCellAnchor>
    <xdr:from>
      <xdr:col>9</xdr:col>
      <xdr:colOff>72990</xdr:colOff>
      <xdr:row>0</xdr:row>
      <xdr:rowOff>72989</xdr:rowOff>
    </xdr:from>
    <xdr:to>
      <xdr:col>15</xdr:col>
      <xdr:colOff>532816</xdr:colOff>
      <xdr:row>3</xdr:row>
      <xdr:rowOff>21896</xdr:rowOff>
    </xdr:to>
    <xdr:sp macro="" textlink="">
      <xdr:nvSpPr>
        <xdr:cNvPr id="8" name="TextBox 7">
          <a:extLst>
            <a:ext uri="{FF2B5EF4-FFF2-40B4-BE49-F238E27FC236}">
              <a16:creationId xmlns:a16="http://schemas.microsoft.com/office/drawing/2014/main" id="{D6D4E170-09E0-4029-8748-23BDD940D884}"/>
            </a:ext>
          </a:extLst>
        </xdr:cNvPr>
        <xdr:cNvSpPr txBox="1"/>
      </xdr:nvSpPr>
      <xdr:spPr>
        <a:xfrm>
          <a:off x="7502490" y="72989"/>
          <a:ext cx="4117426" cy="520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Food and Energy Support Policies, by Income Group </a:t>
          </a:r>
          <a:r>
            <a:rPr lang="en-US" sz="1200" i="1">
              <a:solidFill>
                <a:srgbClr val="7030A0"/>
              </a:solidFill>
            </a:rPr>
            <a:t>(Percent of GDP, median, 20% and 80% percentiles)</a:t>
          </a:r>
        </a:p>
      </xdr:txBody>
    </xdr:sp>
    <xdr:clientData/>
  </xdr:twoCellAnchor>
  <xdr:twoCellAnchor>
    <xdr:from>
      <xdr:col>9</xdr:col>
      <xdr:colOff>189770</xdr:colOff>
      <xdr:row>17</xdr:row>
      <xdr:rowOff>124081</xdr:rowOff>
    </xdr:from>
    <xdr:to>
      <xdr:col>15</xdr:col>
      <xdr:colOff>0</xdr:colOff>
      <xdr:row>22</xdr:row>
      <xdr:rowOff>72988</xdr:rowOff>
    </xdr:to>
    <xdr:sp macro="" textlink="">
      <xdr:nvSpPr>
        <xdr:cNvPr id="9" name="TextBox 8">
          <a:extLst>
            <a:ext uri="{FF2B5EF4-FFF2-40B4-BE49-F238E27FC236}">
              <a16:creationId xmlns:a16="http://schemas.microsoft.com/office/drawing/2014/main" id="{7B2DDE4E-EB4A-4616-99F1-4520DB555DDD}"/>
            </a:ext>
          </a:extLst>
        </xdr:cNvPr>
        <xdr:cNvSpPr txBox="1"/>
      </xdr:nvSpPr>
      <xdr:spPr>
        <a:xfrm>
          <a:off x="7619270" y="3362581"/>
          <a:ext cx="3467830" cy="901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Updated results of the DEFPA IMF Country Desk Survey from Amaglobeli and others (2023)</a:t>
          </a:r>
        </a:p>
        <a:p>
          <a:r>
            <a:rPr lang="en-US"/>
            <a:t>Note: Whiskers reflect the 20th and 80th percentiles. Dots reflect the median and the number of announced measures of each type.</a:t>
          </a:r>
          <a:endParaRPr lang="en-US" sz="1100"/>
        </a:p>
      </xdr:txBody>
    </xdr:sp>
    <xdr:clientData/>
  </xdr:twoCellAnchor>
  <xdr:twoCellAnchor>
    <xdr:from>
      <xdr:col>25</xdr:col>
      <xdr:colOff>400049</xdr:colOff>
      <xdr:row>0</xdr:row>
      <xdr:rowOff>0</xdr:rowOff>
    </xdr:from>
    <xdr:to>
      <xdr:col>33</xdr:col>
      <xdr:colOff>428625</xdr:colOff>
      <xdr:row>23</xdr:row>
      <xdr:rowOff>138114</xdr:rowOff>
    </xdr:to>
    <xdr:graphicFrame macro="">
      <xdr:nvGraphicFramePr>
        <xdr:cNvPr id="10" name="Chart 9">
          <a:extLst>
            <a:ext uri="{FF2B5EF4-FFF2-40B4-BE49-F238E27FC236}">
              <a16:creationId xmlns:a16="http://schemas.microsoft.com/office/drawing/2014/main" id="{56C15964-4BEC-48A4-9C85-8C0F982A1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0.83538</cdr:x>
      <cdr:y>0.20713</cdr:y>
    </cdr:from>
    <cdr:to>
      <cdr:x>0.99571</cdr:x>
      <cdr:y>0.70126</cdr:y>
    </cdr:to>
    <cdr:sp macro="" textlink="">
      <cdr:nvSpPr>
        <cdr:cNvPr id="2" name="TextBox 1">
          <a:extLst xmlns:a="http://schemas.openxmlformats.org/drawingml/2006/main">
            <a:ext uri="{FF2B5EF4-FFF2-40B4-BE49-F238E27FC236}">
              <a16:creationId xmlns:a16="http://schemas.microsoft.com/office/drawing/2014/main" id="{04AA540A-5FF9-4AF5-A896-7FC4C1D213DB}"/>
            </a:ext>
          </a:extLst>
        </cdr:cNvPr>
        <cdr:cNvSpPr txBox="1"/>
      </cdr:nvSpPr>
      <cdr:spPr>
        <a:xfrm xmlns:a="http://schemas.openxmlformats.org/drawingml/2006/main">
          <a:off x="2416838" y="531201"/>
          <a:ext cx="463826" cy="1267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0.74583</cdr:x>
      <cdr:y>0.13769</cdr:y>
    </cdr:from>
    <cdr:to>
      <cdr:x>0.96786</cdr:x>
      <cdr:y>0.84175</cdr:y>
    </cdr:to>
    <cdr:sp macro="" textlink="">
      <cdr:nvSpPr>
        <cdr:cNvPr id="3" name="TextBox 2">
          <a:extLst xmlns:a="http://schemas.openxmlformats.org/drawingml/2006/main">
            <a:ext uri="{FF2B5EF4-FFF2-40B4-BE49-F238E27FC236}">
              <a16:creationId xmlns:a16="http://schemas.microsoft.com/office/drawing/2014/main" id="{8A80B66F-E336-4D4C-A08E-C632718C9049}"/>
            </a:ext>
          </a:extLst>
        </cdr:cNvPr>
        <cdr:cNvSpPr txBox="1"/>
      </cdr:nvSpPr>
      <cdr:spPr>
        <a:xfrm xmlns:a="http://schemas.openxmlformats.org/drawingml/2006/main">
          <a:off x="2114522" y="353126"/>
          <a:ext cx="629479" cy="18056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7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0.7113</cdr:x>
      <cdr:y>0.0844</cdr:y>
    </cdr:from>
    <cdr:to>
      <cdr:x>0.96581</cdr:x>
      <cdr:y>0.72078</cdr:y>
    </cdr:to>
    <cdr:sp macro="" textlink="">
      <cdr:nvSpPr>
        <cdr:cNvPr id="4" name="TextBox 3">
          <a:extLst xmlns:a="http://schemas.openxmlformats.org/drawingml/2006/main">
            <a:ext uri="{FF2B5EF4-FFF2-40B4-BE49-F238E27FC236}">
              <a16:creationId xmlns:a16="http://schemas.microsoft.com/office/drawing/2014/main" id="{070CE7DD-9BE6-4A76-8411-136BD8CC8262}"/>
            </a:ext>
          </a:extLst>
        </cdr:cNvPr>
        <cdr:cNvSpPr txBox="1"/>
      </cdr:nvSpPr>
      <cdr:spPr>
        <a:xfrm xmlns:a="http://schemas.openxmlformats.org/drawingml/2006/main">
          <a:off x="2080522" y="217388"/>
          <a:ext cx="744438" cy="1639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Segoe UI" panose="020B0502040204020203" pitchFamily="34" charset="0"/>
              <a:cs typeface="Segoe UI" panose="020B0502040204020203" pitchFamily="34" charset="0"/>
            </a:rPr>
            <a:t>Median </a:t>
          </a:r>
          <a:r>
            <a:rPr lang="en-US" sz="800">
              <a:latin typeface="Segoe UI" panose="020B0502040204020203" pitchFamily="34" charset="0"/>
              <a:ea typeface="+mn-ea"/>
              <a:cs typeface="Segoe UI" panose="020B0502040204020203" pitchFamily="34" charset="0"/>
            </a:rPr>
            <a:t>Number of Measures Announced:</a:t>
          </a:r>
        </a:p>
        <a:p xmlns:a="http://schemas.openxmlformats.org/drawingml/2006/main">
          <a:pPr>
            <a:lnSpc>
              <a:spcPts val="1900"/>
            </a:lnSpc>
          </a:pPr>
          <a:r>
            <a:rPr lang="en-US" sz="800" baseline="0">
              <a:latin typeface="Segoe UI" panose="020B0502040204020203" pitchFamily="34" charset="0"/>
              <a:cs typeface="Segoe UI" panose="020B0502040204020203" pitchFamily="34" charset="0"/>
            </a:rPr>
            <a:t>      1</a:t>
          </a:r>
        </a:p>
        <a:p xmlns:a="http://schemas.openxmlformats.org/drawingml/2006/main">
          <a:pPr>
            <a:lnSpc>
              <a:spcPts val="1900"/>
            </a:lnSpc>
          </a:pPr>
          <a:r>
            <a:rPr lang="en-US" sz="800" baseline="0">
              <a:latin typeface="Segoe UI" panose="020B0502040204020203" pitchFamily="34" charset="0"/>
              <a:cs typeface="Segoe UI" panose="020B0502040204020203" pitchFamily="34" charset="0"/>
            </a:rPr>
            <a:t>      2</a:t>
          </a:r>
        </a:p>
        <a:p xmlns:a="http://schemas.openxmlformats.org/drawingml/2006/main">
          <a:pPr>
            <a:lnSpc>
              <a:spcPts val="1900"/>
            </a:lnSpc>
          </a:pPr>
          <a:r>
            <a:rPr lang="en-US" sz="800" baseline="0">
              <a:latin typeface="Segoe UI" panose="020B0502040204020203" pitchFamily="34" charset="0"/>
              <a:cs typeface="Segoe UI" panose="020B0502040204020203" pitchFamily="34" charset="0"/>
            </a:rPr>
            <a:t>      7</a:t>
          </a:r>
          <a:endParaRPr lang="en-US" sz="8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0.71302</cdr:x>
      <cdr:y>0.49133</cdr:y>
    </cdr:from>
    <cdr:to>
      <cdr:x>0.96753</cdr:x>
      <cdr:y>1</cdr:y>
    </cdr:to>
    <cdr:sp macro="" textlink="">
      <cdr:nvSpPr>
        <cdr:cNvPr id="6" name="TextBox 1">
          <a:extLst xmlns:a="http://schemas.openxmlformats.org/drawingml/2006/main">
            <a:ext uri="{FF2B5EF4-FFF2-40B4-BE49-F238E27FC236}">
              <a16:creationId xmlns:a16="http://schemas.microsoft.com/office/drawing/2014/main" id="{FBDA5495-1B2B-4484-9656-032DC6E6608B}"/>
            </a:ext>
          </a:extLst>
        </cdr:cNvPr>
        <cdr:cNvSpPr txBox="1"/>
      </cdr:nvSpPr>
      <cdr:spPr>
        <a:xfrm xmlns:a="http://schemas.openxmlformats.org/drawingml/2006/main">
          <a:off x="2030344" y="1260061"/>
          <a:ext cx="724729" cy="1304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800">
            <a:latin typeface="Segoe UI" panose="020B0502040204020203" pitchFamily="34" charset="0"/>
            <a:cs typeface="Segoe UI" panose="020B0502040204020203"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4</xdr:col>
      <xdr:colOff>114299</xdr:colOff>
      <xdr:row>6</xdr:row>
      <xdr:rowOff>50806</xdr:rowOff>
    </xdr:from>
    <xdr:to>
      <xdr:col>7</xdr:col>
      <xdr:colOff>2838450</xdr:colOff>
      <xdr:row>33</xdr:row>
      <xdr:rowOff>66675</xdr:rowOff>
    </xdr:to>
    <xdr:graphicFrame macro="">
      <xdr:nvGraphicFramePr>
        <xdr:cNvPr id="2" name="Chart 1">
          <a:extLst>
            <a:ext uri="{FF2B5EF4-FFF2-40B4-BE49-F238E27FC236}">
              <a16:creationId xmlns:a16="http://schemas.microsoft.com/office/drawing/2014/main" id="{E71C3072-AB86-42E0-BDB5-342829DEC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28576</xdr:colOff>
      <xdr:row>6</xdr:row>
      <xdr:rowOff>123825</xdr:rowOff>
    </xdr:from>
    <xdr:to>
      <xdr:col>26</xdr:col>
      <xdr:colOff>542926</xdr:colOff>
      <xdr:row>27</xdr:row>
      <xdr:rowOff>66676</xdr:rowOff>
    </xdr:to>
    <xdr:graphicFrame macro="">
      <xdr:nvGraphicFramePr>
        <xdr:cNvPr id="3" name="Chart 2">
          <a:extLst>
            <a:ext uri="{FF2B5EF4-FFF2-40B4-BE49-F238E27FC236}">
              <a16:creationId xmlns:a16="http://schemas.microsoft.com/office/drawing/2014/main" id="{0E274022-06B2-49ED-929D-B31D67040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7</xdr:row>
      <xdr:rowOff>95250</xdr:rowOff>
    </xdr:from>
    <xdr:to>
      <xdr:col>14</xdr:col>
      <xdr:colOff>438150</xdr:colOff>
      <xdr:row>30</xdr:row>
      <xdr:rowOff>19050</xdr:rowOff>
    </xdr:to>
    <xdr:graphicFrame macro="">
      <xdr:nvGraphicFramePr>
        <xdr:cNvPr id="2" name="Chart 2">
          <a:extLst>
            <a:ext uri="{FF2B5EF4-FFF2-40B4-BE49-F238E27FC236}">
              <a16:creationId xmlns:a16="http://schemas.microsoft.com/office/drawing/2014/main" id="{E51BF331-BEA9-450D-BFA7-252783A8B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819150</xdr:colOff>
      <xdr:row>6</xdr:row>
      <xdr:rowOff>85725</xdr:rowOff>
    </xdr:from>
    <xdr:to>
      <xdr:col>32</xdr:col>
      <xdr:colOff>533400</xdr:colOff>
      <xdr:row>29</xdr:row>
      <xdr:rowOff>9525</xdr:rowOff>
    </xdr:to>
    <xdr:graphicFrame macro="">
      <xdr:nvGraphicFramePr>
        <xdr:cNvPr id="3" name="Chart 2">
          <a:extLst>
            <a:ext uri="{FF2B5EF4-FFF2-40B4-BE49-F238E27FC236}">
              <a16:creationId xmlns:a16="http://schemas.microsoft.com/office/drawing/2014/main" id="{736B6D41-F577-400E-93A4-306A5E42A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0.37093</cdr:x>
      <cdr:y>0.92428</cdr:y>
    </cdr:from>
    <cdr:to>
      <cdr:x>0.63341</cdr:x>
      <cdr:y>0.98956</cdr:y>
    </cdr:to>
    <cdr:sp macro="" textlink="">
      <cdr:nvSpPr>
        <cdr:cNvPr id="2" name="TextBox 1"/>
        <cdr:cNvSpPr txBox="1"/>
      </cdr:nvSpPr>
      <cdr:spPr>
        <a:xfrm xmlns:a="http://schemas.openxmlformats.org/drawingml/2006/main">
          <a:off x="1628772" y="3371846"/>
          <a:ext cx="1152525" cy="238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Percent of GDP</a:t>
          </a:r>
        </a:p>
      </cdr:txBody>
    </cdr:sp>
  </cdr:relSizeAnchor>
  <cdr:relSizeAnchor xmlns:cdr="http://schemas.openxmlformats.org/drawingml/2006/chartDrawing">
    <cdr:from>
      <cdr:x>1.69607E-7</cdr:x>
      <cdr:y>0.26632</cdr:y>
    </cdr:from>
    <cdr:to>
      <cdr:x>0.04039</cdr:x>
      <cdr:y>0.66057</cdr:y>
    </cdr:to>
    <cdr:sp macro="" textlink="">
      <cdr:nvSpPr>
        <cdr:cNvPr id="3" name="TextBox 1"/>
        <cdr:cNvSpPr txBox="1"/>
      </cdr:nvSpPr>
      <cdr:spPr>
        <a:xfrm xmlns:a="http://schemas.openxmlformats.org/drawingml/2006/main" rot="16200000">
          <a:off x="-600074" y="1571624"/>
          <a:ext cx="14382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Probability Density</a:t>
          </a:r>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600075</xdr:colOff>
      <xdr:row>4</xdr:row>
      <xdr:rowOff>47625</xdr:rowOff>
    </xdr:from>
    <xdr:to>
      <xdr:col>14</xdr:col>
      <xdr:colOff>409575</xdr:colOff>
      <xdr:row>24</xdr:row>
      <xdr:rowOff>76200</xdr:rowOff>
    </xdr:to>
    <xdr:graphicFrame macro="">
      <xdr:nvGraphicFramePr>
        <xdr:cNvPr id="2" name="Chart 2">
          <a:extLst>
            <a:ext uri="{FF2B5EF4-FFF2-40B4-BE49-F238E27FC236}">
              <a16:creationId xmlns:a16="http://schemas.microsoft.com/office/drawing/2014/main" id="{972ADA41-A1D6-4657-87EC-C52D7BBCB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absoluteAnchor>
    <xdr:pos x="703550" y="505510"/>
    <xdr:ext cx="2438400" cy="5345601"/>
    <xdr:graphicFrame macro="">
      <xdr:nvGraphicFramePr>
        <xdr:cNvPr id="2" name="Chart 31">
          <a:extLst>
            <a:ext uri="{FF2B5EF4-FFF2-40B4-BE49-F238E27FC236}">
              <a16:creationId xmlns:a16="http://schemas.microsoft.com/office/drawing/2014/main" id="{6D99EE35-DBA6-4C4F-8549-19DAB918F7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96691" y="528190"/>
    <xdr:ext cx="2792730" cy="5388891"/>
    <xdr:graphicFrame macro="">
      <xdr:nvGraphicFramePr>
        <xdr:cNvPr id="3" name="Chart 51">
          <a:extLst>
            <a:ext uri="{FF2B5EF4-FFF2-40B4-BE49-F238E27FC236}">
              <a16:creationId xmlns:a16="http://schemas.microsoft.com/office/drawing/2014/main" id="{88B59EF3-D2DD-4080-A8C5-898CDF892A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8808372" y="528682"/>
    <xdr:ext cx="2904514" cy="5404196"/>
    <xdr:graphicFrame macro="">
      <xdr:nvGraphicFramePr>
        <xdr:cNvPr id="4" name="Chart 51">
          <a:extLst>
            <a:ext uri="{FF2B5EF4-FFF2-40B4-BE49-F238E27FC236}">
              <a16:creationId xmlns:a16="http://schemas.microsoft.com/office/drawing/2014/main" id="{351C13DC-CE67-48E9-A54B-33DE10505EE0}"/>
            </a:ext>
            <a:ext uri="{147F2762-F138-4A5C-976F-8EAC2B608ADB}">
              <a16:predDERef xmlns:a16="http://schemas.microsoft.com/office/drawing/2014/main" pred="{63CB450C-AEB4-47E1-8E07-10480DBA2A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5</xdr:col>
      <xdr:colOff>106463</xdr:colOff>
      <xdr:row>2</xdr:row>
      <xdr:rowOff>123825</xdr:rowOff>
    </xdr:from>
    <xdr:to>
      <xdr:col>8</xdr:col>
      <xdr:colOff>497980</xdr:colOff>
      <xdr:row>32</xdr:row>
      <xdr:rowOff>79518</xdr:rowOff>
    </xdr:to>
    <xdr:graphicFrame macro="">
      <xdr:nvGraphicFramePr>
        <xdr:cNvPr id="5" name="Chart 4">
          <a:extLst>
            <a:ext uri="{FF2B5EF4-FFF2-40B4-BE49-F238E27FC236}">
              <a16:creationId xmlns:a16="http://schemas.microsoft.com/office/drawing/2014/main" id="{DF45A63E-F121-4AEA-A765-2A5175E42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224517</xdr:colOff>
      <xdr:row>31</xdr:row>
      <xdr:rowOff>74839</xdr:rowOff>
    </xdr:from>
    <xdr:to>
      <xdr:col>18</xdr:col>
      <xdr:colOff>57150</xdr:colOff>
      <xdr:row>41</xdr:row>
      <xdr:rowOff>133350</xdr:rowOff>
    </xdr:to>
    <xdr:sp macro="" textlink="">
      <xdr:nvSpPr>
        <xdr:cNvPr id="6" name="TextBox 5">
          <a:extLst>
            <a:ext uri="{FF2B5EF4-FFF2-40B4-BE49-F238E27FC236}">
              <a16:creationId xmlns:a16="http://schemas.microsoft.com/office/drawing/2014/main" id="{72867CA0-6506-4703-B5FB-8EDC02ACC85B}"/>
            </a:ext>
          </a:extLst>
        </xdr:cNvPr>
        <xdr:cNvSpPr txBox="1"/>
      </xdr:nvSpPr>
      <xdr:spPr>
        <a:xfrm>
          <a:off x="834117" y="5218339"/>
          <a:ext cx="10195833" cy="1677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Sources: IMF staff analysis based on an IMF survey and using additional data from Beer, Griffiths, and Klemm (2023); IMF Pay Systems database (2016); International Social Security Association database; OECD (2022c), and US Social Security Administration databases.</a:t>
          </a:r>
        </a:p>
        <a:p>
          <a:r>
            <a:rPr lang="en-US" sz="1000">
              <a:solidFill>
                <a:schemeClr val="dk1"/>
              </a:solidFill>
              <a:effectLst/>
              <a:latin typeface="Arial" panose="020B0604020202020204" pitchFamily="34" charset="0"/>
              <a:ea typeface="+mn-ea"/>
              <a:cs typeface="Arial" panose="020B0604020202020204" pitchFamily="34" charset="0"/>
            </a:rPr>
            <a:t>Note: Panels include data for 2016–23. Observations vary from 116 to 176 countries in each panel (see Online Annex 2.1 for details). Price indexation includes different measures of inflation, for example, “core,” or measures that include only urban workers or exclude fuel, tobacco, alcohol, and others. Even with automatic indexation, discretionary approval stages may be part of the framework that result in ad hoc adjustments. AEs = advanced economies; EMs = emerging market economies; LIDCs = low-income developing countries.</a:t>
          </a:r>
        </a:p>
        <a:p>
          <a:r>
            <a:rPr lang="en-US" sz="1000" baseline="30000">
              <a:solidFill>
                <a:schemeClr val="dk1"/>
              </a:solidFill>
              <a:effectLst/>
              <a:latin typeface="Arial" panose="020B0604020202020204" pitchFamily="34" charset="0"/>
              <a:ea typeface="+mn-ea"/>
              <a:cs typeface="Arial" panose="020B0604020202020204" pitchFamily="34" charset="0"/>
            </a:rPr>
            <a:t>1</a:t>
          </a:r>
          <a:r>
            <a:rPr lang="en-US" sz="1000">
              <a:solidFill>
                <a:schemeClr val="dk1"/>
              </a:solidFill>
              <a:effectLst/>
              <a:latin typeface="Arial" panose="020B0604020202020204" pitchFamily="34" charset="0"/>
              <a:ea typeface="+mn-ea"/>
              <a:cs typeface="Arial" panose="020B0604020202020204" pitchFamily="34" charset="0"/>
            </a:rPr>
            <a:t> “Regular de facto adjustments” means that personal income tax thresholds are regularly revised but not automatically.</a:t>
          </a:r>
        </a:p>
        <a:p>
          <a:r>
            <a:rPr lang="en-US" sz="1000" baseline="30000">
              <a:solidFill>
                <a:schemeClr val="dk1"/>
              </a:solidFill>
              <a:effectLst/>
              <a:latin typeface="Arial" panose="020B0604020202020204" pitchFamily="34" charset="0"/>
              <a:ea typeface="+mn-ea"/>
              <a:cs typeface="Arial" panose="020B0604020202020204" pitchFamily="34" charset="0"/>
            </a:rPr>
            <a:t>2</a:t>
          </a:r>
          <a:r>
            <a:rPr lang="en-US" sz="1000">
              <a:solidFill>
                <a:schemeClr val="dk1"/>
              </a:solidFill>
              <a:effectLst/>
              <a:latin typeface="Arial" panose="020B0604020202020204" pitchFamily="34" charset="0"/>
              <a:ea typeface="+mn-ea"/>
              <a:cs typeface="Arial" panose="020B0604020202020204" pitchFamily="34" charset="0"/>
            </a:rPr>
            <a:t> “Mixed” indexation refers to an adjustment that includes a mix of price, wages, and other variables.</a:t>
          </a:r>
        </a:p>
        <a:p>
          <a:r>
            <a:rPr lang="en-US" sz="1000" baseline="30000">
              <a:solidFill>
                <a:schemeClr val="dk1"/>
              </a:solidFill>
              <a:effectLst/>
              <a:latin typeface="Arial" panose="020B0604020202020204" pitchFamily="34" charset="0"/>
              <a:ea typeface="+mn-ea"/>
              <a:cs typeface="Arial" panose="020B0604020202020204" pitchFamily="34" charset="0"/>
            </a:rPr>
            <a:t>3</a:t>
          </a:r>
          <a:r>
            <a:rPr lang="en-US" sz="1000">
              <a:solidFill>
                <a:schemeClr val="dk1"/>
              </a:solidFill>
              <a:effectLst/>
              <a:latin typeface="Arial" panose="020B0604020202020204" pitchFamily="34" charset="0"/>
              <a:ea typeface="+mn-ea"/>
              <a:cs typeface="Arial" panose="020B0604020202020204" pitchFamily="34" charset="0"/>
            </a:rPr>
            <a:t> Social assistance programs include major fixed cash transfer programs. “Yes” means that majority of benefits are indexed in the country.</a:t>
          </a:r>
        </a:p>
        <a:p>
          <a:r>
            <a:rPr lang="en-US" sz="1000" baseline="30000">
              <a:solidFill>
                <a:schemeClr val="dk1"/>
              </a:solidFill>
              <a:effectLst/>
              <a:latin typeface="Arial" panose="020B0604020202020204" pitchFamily="34" charset="0"/>
              <a:ea typeface="+mn-ea"/>
              <a:cs typeface="Arial" panose="020B0604020202020204" pitchFamily="34" charset="0"/>
            </a:rPr>
            <a:t>4</a:t>
          </a:r>
          <a:r>
            <a:rPr lang="en-US" sz="1000">
              <a:solidFill>
                <a:schemeClr val="dk1"/>
              </a:solidFill>
              <a:effectLst/>
              <a:latin typeface="Arial" panose="020B0604020202020204" pitchFamily="34" charset="0"/>
              <a:ea typeface="+mn-ea"/>
              <a:cs typeface="Arial" panose="020B0604020202020204" pitchFamily="34" charset="0"/>
            </a:rPr>
            <a:t> “No” means that inflation does not play an automatic or mandatory role in the setting of public wages. </a:t>
          </a:r>
          <a:endParaRPr lang="en-US" sz="1000">
            <a:latin typeface="Arial" panose="020B0604020202020204" pitchFamily="34" charset="0"/>
            <a:cs typeface="Arial" panose="020B0604020202020204" pitchFamily="34" charset="0"/>
          </a:endParaRPr>
        </a:p>
      </xdr:txBody>
    </xdr:sp>
    <xdr:clientData/>
  </xdr:twoCellAnchor>
  <xdr:twoCellAnchor editAs="oneCell">
    <xdr:from>
      <xdr:col>24</xdr:col>
      <xdr:colOff>240507</xdr:colOff>
      <xdr:row>3</xdr:row>
      <xdr:rowOff>30327</xdr:rowOff>
    </xdr:from>
    <xdr:to>
      <xdr:col>40</xdr:col>
      <xdr:colOff>533400</xdr:colOff>
      <xdr:row>27</xdr:row>
      <xdr:rowOff>19050</xdr:rowOff>
    </xdr:to>
    <xdr:pic>
      <xdr:nvPicPr>
        <xdr:cNvPr id="7" name="Picture 6">
          <a:extLst>
            <a:ext uri="{FF2B5EF4-FFF2-40B4-BE49-F238E27FC236}">
              <a16:creationId xmlns:a16="http://schemas.microsoft.com/office/drawing/2014/main" id="{02547BEE-EE81-4889-8322-B9D428B9F4CA}"/>
            </a:ext>
          </a:extLst>
        </xdr:cNvPr>
        <xdr:cNvPicPr>
          <a:picLocks noChangeAspect="1"/>
        </xdr:cNvPicPr>
      </xdr:nvPicPr>
      <xdr:blipFill>
        <a:blip xmlns:r="http://schemas.openxmlformats.org/officeDocument/2006/relationships" r:embed="rId5"/>
        <a:stretch>
          <a:fillRect/>
        </a:stretch>
      </xdr:blipFill>
      <xdr:spPr>
        <a:xfrm>
          <a:off x="15928182" y="544677"/>
          <a:ext cx="10046493" cy="3970173"/>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cdr:x>
      <cdr:y>0</cdr:y>
    </cdr:from>
    <cdr:to>
      <cdr:x>1</cdr:x>
      <cdr:y>0.14935</cdr:y>
    </cdr:to>
    <cdr:sp macro="" textlink="">
      <cdr:nvSpPr>
        <cdr:cNvPr id="2" name="TextBox 1">
          <a:extLst xmlns:a="http://schemas.openxmlformats.org/drawingml/2006/main">
            <a:ext uri="{FF2B5EF4-FFF2-40B4-BE49-F238E27FC236}">
              <a16:creationId xmlns:a16="http://schemas.microsoft.com/office/drawing/2014/main" id="{C058C0ED-14B0-49D6-9C45-722686EE8EA5}"/>
            </a:ext>
          </a:extLst>
        </cdr:cNvPr>
        <cdr:cNvSpPr txBox="1"/>
      </cdr:nvSpPr>
      <cdr:spPr>
        <a:xfrm xmlns:a="http://schemas.openxmlformats.org/drawingml/2006/main">
          <a:off x="0" y="0"/>
          <a:ext cx="2438400" cy="798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latin typeface="Arial" panose="020B0604020202020204" pitchFamily="34" charset="0"/>
              <a:cs typeface="Arial" panose="020B0604020202020204" pitchFamily="34" charset="0"/>
            </a:rPr>
            <a:t>1. Personal Income Tax Brackets' Indexation</a:t>
          </a:r>
          <a:r>
            <a:rPr lang="en-US" sz="1400" b="1" baseline="30000">
              <a:latin typeface="Arial" panose="020B0604020202020204" pitchFamily="34" charset="0"/>
              <a:cs typeface="Arial" panose="020B0604020202020204" pitchFamily="34" charset="0"/>
            </a:rPr>
            <a:t>1</a:t>
          </a:r>
        </a:p>
      </cdr:txBody>
    </cdr:sp>
  </cdr:relSizeAnchor>
</c:userShapes>
</file>

<file path=xl/drawings/drawing3.xml><?xml version="1.0" encoding="utf-8"?>
<xdr:wsDr xmlns:xdr="http://schemas.openxmlformats.org/drawingml/2006/spreadsheetDrawing" xmlns:a="http://schemas.openxmlformats.org/drawingml/2006/main">
  <xdr:oneCellAnchor>
    <xdr:from>
      <xdr:col>18</xdr:col>
      <xdr:colOff>0</xdr:colOff>
      <xdr:row>41</xdr:row>
      <xdr:rowOff>0</xdr:rowOff>
    </xdr:from>
    <xdr:ext cx="9525" cy="219075"/>
    <xdr:sp macro="" textlink="">
      <xdr:nvSpPr>
        <xdr:cNvPr id="2" name="Text Box 1">
          <a:extLst>
            <a:ext uri="{FF2B5EF4-FFF2-40B4-BE49-F238E27FC236}">
              <a16:creationId xmlns:a16="http://schemas.microsoft.com/office/drawing/2014/main" id="{2A7171CD-22E0-4850-9055-DB3489FD587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 name="Text Box 1">
          <a:extLst>
            <a:ext uri="{FF2B5EF4-FFF2-40B4-BE49-F238E27FC236}">
              <a16:creationId xmlns:a16="http://schemas.microsoft.com/office/drawing/2014/main" id="{18D128D6-9871-4D0A-BA07-571E3C638E3C}"/>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 name="Text Box 1">
          <a:extLst>
            <a:ext uri="{FF2B5EF4-FFF2-40B4-BE49-F238E27FC236}">
              <a16:creationId xmlns:a16="http://schemas.microsoft.com/office/drawing/2014/main" id="{D15697A8-838B-4795-A154-947015C05C7B}"/>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 name="Text Box 1">
          <a:extLst>
            <a:ext uri="{FF2B5EF4-FFF2-40B4-BE49-F238E27FC236}">
              <a16:creationId xmlns:a16="http://schemas.microsoft.com/office/drawing/2014/main" id="{D0BB0169-6E84-417C-AE95-9083B52C99BB}"/>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 name="Text Box 1">
          <a:extLst>
            <a:ext uri="{FF2B5EF4-FFF2-40B4-BE49-F238E27FC236}">
              <a16:creationId xmlns:a16="http://schemas.microsoft.com/office/drawing/2014/main" id="{926C9CE8-F901-4E5F-8518-DA16AE25455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 name="Text Box 1">
          <a:extLst>
            <a:ext uri="{FF2B5EF4-FFF2-40B4-BE49-F238E27FC236}">
              <a16:creationId xmlns:a16="http://schemas.microsoft.com/office/drawing/2014/main" id="{E760569A-8821-4369-874F-678EDD53E0B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 name="Text Box 1">
          <a:extLst>
            <a:ext uri="{FF2B5EF4-FFF2-40B4-BE49-F238E27FC236}">
              <a16:creationId xmlns:a16="http://schemas.microsoft.com/office/drawing/2014/main" id="{92C07E9A-2202-4D5D-B90B-C3330F33002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 name="Text Box 1">
          <a:extLst>
            <a:ext uri="{FF2B5EF4-FFF2-40B4-BE49-F238E27FC236}">
              <a16:creationId xmlns:a16="http://schemas.microsoft.com/office/drawing/2014/main" id="{D248438B-4AF2-4E73-A218-3D8A52B8BD7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342900"/>
    <xdr:sp macro="" textlink="">
      <xdr:nvSpPr>
        <xdr:cNvPr id="10" name="Text Box 1">
          <a:extLst>
            <a:ext uri="{FF2B5EF4-FFF2-40B4-BE49-F238E27FC236}">
              <a16:creationId xmlns:a16="http://schemas.microsoft.com/office/drawing/2014/main" id="{266A4359-489F-4F21-856A-AED98E6B8997}"/>
            </a:ext>
          </a:extLst>
        </xdr:cNvPr>
        <xdr:cNvSpPr txBox="1">
          <a:spLocks noChangeArrowheads="1"/>
        </xdr:cNvSpPr>
      </xdr:nvSpPr>
      <xdr:spPr bwMode="auto">
        <a:xfrm>
          <a:off x="8667750" y="5819775"/>
          <a:ext cx="9525" cy="342900"/>
        </a:xfrm>
        <a:prstGeom prst="rect">
          <a:avLst/>
        </a:prstGeom>
        <a:noFill/>
        <a:ln w="9525">
          <a:noFill/>
          <a:miter lim="800000"/>
          <a:headEnd/>
          <a:tailEnd/>
        </a:ln>
      </xdr:spPr>
    </xdr:sp>
    <xdr:clientData/>
  </xdr:oneCellAnchor>
  <xdr:oneCellAnchor>
    <xdr:from>
      <xdr:col>18</xdr:col>
      <xdr:colOff>0</xdr:colOff>
      <xdr:row>41</xdr:row>
      <xdr:rowOff>0</xdr:rowOff>
    </xdr:from>
    <xdr:ext cx="9525" cy="342900"/>
    <xdr:sp macro="" textlink="">
      <xdr:nvSpPr>
        <xdr:cNvPr id="11" name="Text Box 1">
          <a:extLst>
            <a:ext uri="{FF2B5EF4-FFF2-40B4-BE49-F238E27FC236}">
              <a16:creationId xmlns:a16="http://schemas.microsoft.com/office/drawing/2014/main" id="{3B6DDB1B-CCB1-4534-938A-C5766E3BF5AC}"/>
            </a:ext>
          </a:extLst>
        </xdr:cNvPr>
        <xdr:cNvSpPr txBox="1">
          <a:spLocks noChangeArrowheads="1"/>
        </xdr:cNvSpPr>
      </xdr:nvSpPr>
      <xdr:spPr bwMode="auto">
        <a:xfrm>
          <a:off x="8667750" y="5819775"/>
          <a:ext cx="9525" cy="342900"/>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12" name="Text Box 1">
          <a:extLst>
            <a:ext uri="{FF2B5EF4-FFF2-40B4-BE49-F238E27FC236}">
              <a16:creationId xmlns:a16="http://schemas.microsoft.com/office/drawing/2014/main" id="{C2524DF7-539C-4F1E-9FDC-A25218C1A3F2}"/>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50</xdr:row>
      <xdr:rowOff>0</xdr:rowOff>
    </xdr:from>
    <xdr:ext cx="9525" cy="209551"/>
    <xdr:sp macro="" textlink="">
      <xdr:nvSpPr>
        <xdr:cNvPr id="13" name="Text Box 1">
          <a:extLst>
            <a:ext uri="{FF2B5EF4-FFF2-40B4-BE49-F238E27FC236}">
              <a16:creationId xmlns:a16="http://schemas.microsoft.com/office/drawing/2014/main" id="{489038BD-2CA5-4190-B0C1-BE47955D7DBB}"/>
            </a:ext>
          </a:extLst>
        </xdr:cNvPr>
        <xdr:cNvSpPr txBox="1">
          <a:spLocks noChangeArrowheads="1"/>
        </xdr:cNvSpPr>
      </xdr:nvSpPr>
      <xdr:spPr bwMode="auto">
        <a:xfrm>
          <a:off x="8667750" y="7905750"/>
          <a:ext cx="9525" cy="209551"/>
        </a:xfrm>
        <a:prstGeom prst="rect">
          <a:avLst/>
        </a:prstGeom>
        <a:noFill/>
        <a:ln w="9525">
          <a:noFill/>
          <a:miter lim="800000"/>
          <a:headEnd/>
          <a:tailEnd/>
        </a:ln>
      </xdr:spPr>
    </xdr:sp>
    <xdr:clientData/>
  </xdr:oneCellAnchor>
  <xdr:oneCellAnchor>
    <xdr:from>
      <xdr:col>18</xdr:col>
      <xdr:colOff>0</xdr:colOff>
      <xdr:row>50</xdr:row>
      <xdr:rowOff>0</xdr:rowOff>
    </xdr:from>
    <xdr:ext cx="9525" cy="209551"/>
    <xdr:sp macro="" textlink="">
      <xdr:nvSpPr>
        <xdr:cNvPr id="14" name="Text Box 1">
          <a:extLst>
            <a:ext uri="{FF2B5EF4-FFF2-40B4-BE49-F238E27FC236}">
              <a16:creationId xmlns:a16="http://schemas.microsoft.com/office/drawing/2014/main" id="{5E0FEF4D-D0C0-4C94-87FB-FDC0C6E36F9F}"/>
            </a:ext>
          </a:extLst>
        </xdr:cNvPr>
        <xdr:cNvSpPr txBox="1">
          <a:spLocks noChangeArrowheads="1"/>
        </xdr:cNvSpPr>
      </xdr:nvSpPr>
      <xdr:spPr bwMode="auto">
        <a:xfrm>
          <a:off x="8667750" y="7905750"/>
          <a:ext cx="9525" cy="209551"/>
        </a:xfrm>
        <a:prstGeom prst="rect">
          <a:avLst/>
        </a:prstGeom>
        <a:noFill/>
        <a:ln w="9525">
          <a:noFill/>
          <a:miter lim="800000"/>
          <a:headEnd/>
          <a:tailEnd/>
        </a:ln>
      </xdr:spPr>
    </xdr:sp>
    <xdr:clientData/>
  </xdr:oneCellAnchor>
  <xdr:oneCellAnchor>
    <xdr:from>
      <xdr:col>18</xdr:col>
      <xdr:colOff>0</xdr:colOff>
      <xdr:row>50</xdr:row>
      <xdr:rowOff>0</xdr:rowOff>
    </xdr:from>
    <xdr:ext cx="9525" cy="209551"/>
    <xdr:sp macro="" textlink="">
      <xdr:nvSpPr>
        <xdr:cNvPr id="15" name="Text Box 1">
          <a:extLst>
            <a:ext uri="{FF2B5EF4-FFF2-40B4-BE49-F238E27FC236}">
              <a16:creationId xmlns:a16="http://schemas.microsoft.com/office/drawing/2014/main" id="{A1F20D06-E306-4BAA-B22B-541A667F3E43}"/>
            </a:ext>
          </a:extLst>
        </xdr:cNvPr>
        <xdr:cNvSpPr txBox="1">
          <a:spLocks noChangeArrowheads="1"/>
        </xdr:cNvSpPr>
      </xdr:nvSpPr>
      <xdr:spPr bwMode="auto">
        <a:xfrm>
          <a:off x="8667750" y="7905750"/>
          <a:ext cx="9525" cy="209551"/>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6" name="Text Box 1">
          <a:extLst>
            <a:ext uri="{FF2B5EF4-FFF2-40B4-BE49-F238E27FC236}">
              <a16:creationId xmlns:a16="http://schemas.microsoft.com/office/drawing/2014/main" id="{FCB83E54-EACE-4ED4-81CD-A1ABA2C11CD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7" name="Text Box 1">
          <a:extLst>
            <a:ext uri="{FF2B5EF4-FFF2-40B4-BE49-F238E27FC236}">
              <a16:creationId xmlns:a16="http://schemas.microsoft.com/office/drawing/2014/main" id="{D835642E-2B2C-4355-A293-3A9E8463368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8" name="Text Box 1">
          <a:extLst>
            <a:ext uri="{FF2B5EF4-FFF2-40B4-BE49-F238E27FC236}">
              <a16:creationId xmlns:a16="http://schemas.microsoft.com/office/drawing/2014/main" id="{34AA8B0B-9E65-4D37-9917-3E4040400880}"/>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9" name="Text Box 1">
          <a:extLst>
            <a:ext uri="{FF2B5EF4-FFF2-40B4-BE49-F238E27FC236}">
              <a16:creationId xmlns:a16="http://schemas.microsoft.com/office/drawing/2014/main" id="{85C7D284-4E01-443B-9B8D-25406D7072C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0" name="Text Box 1">
          <a:extLst>
            <a:ext uri="{FF2B5EF4-FFF2-40B4-BE49-F238E27FC236}">
              <a16:creationId xmlns:a16="http://schemas.microsoft.com/office/drawing/2014/main" id="{8BDF0DCB-63D6-48CA-BE73-A25D16FE175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1" name="Text Box 1">
          <a:extLst>
            <a:ext uri="{FF2B5EF4-FFF2-40B4-BE49-F238E27FC236}">
              <a16:creationId xmlns:a16="http://schemas.microsoft.com/office/drawing/2014/main" id="{0B24B3F6-B7FA-4A9E-9450-3D3915F3C23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2" name="Text Box 1">
          <a:extLst>
            <a:ext uri="{FF2B5EF4-FFF2-40B4-BE49-F238E27FC236}">
              <a16:creationId xmlns:a16="http://schemas.microsoft.com/office/drawing/2014/main" id="{EC94265A-923E-4B54-99F0-0AA6955016D4}"/>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3" name="Text Box 1">
          <a:extLst>
            <a:ext uri="{FF2B5EF4-FFF2-40B4-BE49-F238E27FC236}">
              <a16:creationId xmlns:a16="http://schemas.microsoft.com/office/drawing/2014/main" id="{DC5555A7-D6A4-4EA6-8D47-B3653A3F54A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4" name="Text Box 1">
          <a:extLst>
            <a:ext uri="{FF2B5EF4-FFF2-40B4-BE49-F238E27FC236}">
              <a16:creationId xmlns:a16="http://schemas.microsoft.com/office/drawing/2014/main" id="{6103E9CC-E2BB-4778-9FD6-E62A32EA943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5" name="Text Box 1">
          <a:extLst>
            <a:ext uri="{FF2B5EF4-FFF2-40B4-BE49-F238E27FC236}">
              <a16:creationId xmlns:a16="http://schemas.microsoft.com/office/drawing/2014/main" id="{32B377B8-E144-4F35-91EF-E171530E432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6" name="Text Box 1">
          <a:extLst>
            <a:ext uri="{FF2B5EF4-FFF2-40B4-BE49-F238E27FC236}">
              <a16:creationId xmlns:a16="http://schemas.microsoft.com/office/drawing/2014/main" id="{50DAF3E9-F0F0-4FA0-AD2F-1553C2ACEDD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7" name="Text Box 1">
          <a:extLst>
            <a:ext uri="{FF2B5EF4-FFF2-40B4-BE49-F238E27FC236}">
              <a16:creationId xmlns:a16="http://schemas.microsoft.com/office/drawing/2014/main" id="{0686B166-F870-4957-B75E-5108B104BE4D}"/>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8" name="Text Box 1">
          <a:extLst>
            <a:ext uri="{FF2B5EF4-FFF2-40B4-BE49-F238E27FC236}">
              <a16:creationId xmlns:a16="http://schemas.microsoft.com/office/drawing/2014/main" id="{DEC440A5-A82E-4010-B3EC-455CB8BDF14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29" name="Text Box 1">
          <a:extLst>
            <a:ext uri="{FF2B5EF4-FFF2-40B4-BE49-F238E27FC236}">
              <a16:creationId xmlns:a16="http://schemas.microsoft.com/office/drawing/2014/main" id="{CB985712-F087-438E-B073-AE3F5089D25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0" name="Text Box 1">
          <a:extLst>
            <a:ext uri="{FF2B5EF4-FFF2-40B4-BE49-F238E27FC236}">
              <a16:creationId xmlns:a16="http://schemas.microsoft.com/office/drawing/2014/main" id="{110F6784-2BDC-41A4-9D05-59271591336C}"/>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1" name="Text Box 1">
          <a:extLst>
            <a:ext uri="{FF2B5EF4-FFF2-40B4-BE49-F238E27FC236}">
              <a16:creationId xmlns:a16="http://schemas.microsoft.com/office/drawing/2014/main" id="{3FA5BC39-AEE8-40C3-B250-8A79B508B09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2" name="Text Box 1">
          <a:extLst>
            <a:ext uri="{FF2B5EF4-FFF2-40B4-BE49-F238E27FC236}">
              <a16:creationId xmlns:a16="http://schemas.microsoft.com/office/drawing/2014/main" id="{A5309961-9649-459F-A8E3-C6DFE382190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3" name="Text Box 1">
          <a:extLst>
            <a:ext uri="{FF2B5EF4-FFF2-40B4-BE49-F238E27FC236}">
              <a16:creationId xmlns:a16="http://schemas.microsoft.com/office/drawing/2014/main" id="{C4C1D46A-8D56-4257-A407-D94966904A0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4" name="Text Box 1">
          <a:extLst>
            <a:ext uri="{FF2B5EF4-FFF2-40B4-BE49-F238E27FC236}">
              <a16:creationId xmlns:a16="http://schemas.microsoft.com/office/drawing/2014/main" id="{3C0DD2EC-09CE-422E-A8BC-0045CEBA3BE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5" name="Text Box 1">
          <a:extLst>
            <a:ext uri="{FF2B5EF4-FFF2-40B4-BE49-F238E27FC236}">
              <a16:creationId xmlns:a16="http://schemas.microsoft.com/office/drawing/2014/main" id="{DC70D443-5663-44C4-9818-D1219095B3C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342900"/>
    <xdr:sp macro="" textlink="">
      <xdr:nvSpPr>
        <xdr:cNvPr id="36" name="Text Box 1">
          <a:extLst>
            <a:ext uri="{FF2B5EF4-FFF2-40B4-BE49-F238E27FC236}">
              <a16:creationId xmlns:a16="http://schemas.microsoft.com/office/drawing/2014/main" id="{7553949F-4805-40FF-984F-AF6A0D9CFEF0}"/>
            </a:ext>
          </a:extLst>
        </xdr:cNvPr>
        <xdr:cNvSpPr txBox="1">
          <a:spLocks noChangeArrowheads="1"/>
        </xdr:cNvSpPr>
      </xdr:nvSpPr>
      <xdr:spPr bwMode="auto">
        <a:xfrm>
          <a:off x="8667750" y="5819775"/>
          <a:ext cx="9525" cy="342900"/>
        </a:xfrm>
        <a:prstGeom prst="rect">
          <a:avLst/>
        </a:prstGeom>
        <a:noFill/>
        <a:ln w="9525">
          <a:noFill/>
          <a:miter lim="800000"/>
          <a:headEnd/>
          <a:tailEnd/>
        </a:ln>
      </xdr:spPr>
    </xdr:sp>
    <xdr:clientData/>
  </xdr:oneCellAnchor>
  <xdr:oneCellAnchor>
    <xdr:from>
      <xdr:col>18</xdr:col>
      <xdr:colOff>0</xdr:colOff>
      <xdr:row>41</xdr:row>
      <xdr:rowOff>0</xdr:rowOff>
    </xdr:from>
    <xdr:ext cx="9525" cy="342900"/>
    <xdr:sp macro="" textlink="">
      <xdr:nvSpPr>
        <xdr:cNvPr id="37" name="Text Box 1">
          <a:extLst>
            <a:ext uri="{FF2B5EF4-FFF2-40B4-BE49-F238E27FC236}">
              <a16:creationId xmlns:a16="http://schemas.microsoft.com/office/drawing/2014/main" id="{B1F75790-6AD7-418A-BC5A-56C53B0660AB}"/>
            </a:ext>
          </a:extLst>
        </xdr:cNvPr>
        <xdr:cNvSpPr txBox="1">
          <a:spLocks noChangeArrowheads="1"/>
        </xdr:cNvSpPr>
      </xdr:nvSpPr>
      <xdr:spPr bwMode="auto">
        <a:xfrm>
          <a:off x="8667750" y="5819775"/>
          <a:ext cx="9525" cy="3429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8" name="Text Box 1">
          <a:extLst>
            <a:ext uri="{FF2B5EF4-FFF2-40B4-BE49-F238E27FC236}">
              <a16:creationId xmlns:a16="http://schemas.microsoft.com/office/drawing/2014/main" id="{EFFEE872-EBE9-4C67-99A6-8ABD0CBB95F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39" name="Text Box 1">
          <a:extLst>
            <a:ext uri="{FF2B5EF4-FFF2-40B4-BE49-F238E27FC236}">
              <a16:creationId xmlns:a16="http://schemas.microsoft.com/office/drawing/2014/main" id="{6CAB3EA1-7984-41B1-B411-F9CF1EA5D7F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0" name="Text Box 1">
          <a:extLst>
            <a:ext uri="{FF2B5EF4-FFF2-40B4-BE49-F238E27FC236}">
              <a16:creationId xmlns:a16="http://schemas.microsoft.com/office/drawing/2014/main" id="{1106513E-966C-42C4-96FE-3711C741363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1" name="Text Box 1">
          <a:extLst>
            <a:ext uri="{FF2B5EF4-FFF2-40B4-BE49-F238E27FC236}">
              <a16:creationId xmlns:a16="http://schemas.microsoft.com/office/drawing/2014/main" id="{77F91A1C-5805-487F-B074-2C1D297F7A5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2" name="Text Box 1">
          <a:extLst>
            <a:ext uri="{FF2B5EF4-FFF2-40B4-BE49-F238E27FC236}">
              <a16:creationId xmlns:a16="http://schemas.microsoft.com/office/drawing/2014/main" id="{D0F41927-CED1-474D-8DB6-529A0B996224}"/>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3" name="Text Box 1">
          <a:extLst>
            <a:ext uri="{FF2B5EF4-FFF2-40B4-BE49-F238E27FC236}">
              <a16:creationId xmlns:a16="http://schemas.microsoft.com/office/drawing/2014/main" id="{054DE56D-9BB1-48AE-9BB8-AF72AF1A582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4" name="Text Box 1">
          <a:extLst>
            <a:ext uri="{FF2B5EF4-FFF2-40B4-BE49-F238E27FC236}">
              <a16:creationId xmlns:a16="http://schemas.microsoft.com/office/drawing/2014/main" id="{7F8DA6D6-1520-48DA-B0FE-EAFECE8E7DE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5" name="Text Box 1">
          <a:extLst>
            <a:ext uri="{FF2B5EF4-FFF2-40B4-BE49-F238E27FC236}">
              <a16:creationId xmlns:a16="http://schemas.microsoft.com/office/drawing/2014/main" id="{ECCD8C90-64AC-4D2B-B072-9D11014361E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46" name="Text Box 1">
          <a:extLst>
            <a:ext uri="{FF2B5EF4-FFF2-40B4-BE49-F238E27FC236}">
              <a16:creationId xmlns:a16="http://schemas.microsoft.com/office/drawing/2014/main" id="{91BF5E25-49C2-43E0-9C05-7DA8C67AE937}"/>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7" name="Text Box 1">
          <a:extLst>
            <a:ext uri="{FF2B5EF4-FFF2-40B4-BE49-F238E27FC236}">
              <a16:creationId xmlns:a16="http://schemas.microsoft.com/office/drawing/2014/main" id="{7BADEA06-D9B3-4AEC-8281-9CA07DCB1E8B}"/>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8" name="Text Box 1">
          <a:extLst>
            <a:ext uri="{FF2B5EF4-FFF2-40B4-BE49-F238E27FC236}">
              <a16:creationId xmlns:a16="http://schemas.microsoft.com/office/drawing/2014/main" id="{9687DFE7-5645-4395-B41D-4092F3E3024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49" name="Text Box 1">
          <a:extLst>
            <a:ext uri="{FF2B5EF4-FFF2-40B4-BE49-F238E27FC236}">
              <a16:creationId xmlns:a16="http://schemas.microsoft.com/office/drawing/2014/main" id="{87AD26BD-E081-4158-92C0-AB14FA06BC7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0" name="Text Box 1">
          <a:extLst>
            <a:ext uri="{FF2B5EF4-FFF2-40B4-BE49-F238E27FC236}">
              <a16:creationId xmlns:a16="http://schemas.microsoft.com/office/drawing/2014/main" id="{35B03418-8940-46F8-B430-FEE7A552AAD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1" name="Text Box 1">
          <a:extLst>
            <a:ext uri="{FF2B5EF4-FFF2-40B4-BE49-F238E27FC236}">
              <a16:creationId xmlns:a16="http://schemas.microsoft.com/office/drawing/2014/main" id="{8D9F7739-0EEA-46A1-8EDD-EC32C616AFF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2" name="Text Box 1">
          <a:extLst>
            <a:ext uri="{FF2B5EF4-FFF2-40B4-BE49-F238E27FC236}">
              <a16:creationId xmlns:a16="http://schemas.microsoft.com/office/drawing/2014/main" id="{A0D6EC14-02E5-4867-BF6D-95A0728CC9D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3" name="Text Box 1">
          <a:extLst>
            <a:ext uri="{FF2B5EF4-FFF2-40B4-BE49-F238E27FC236}">
              <a16:creationId xmlns:a16="http://schemas.microsoft.com/office/drawing/2014/main" id="{1698638A-4A12-445B-8D3D-367EF7B43F7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54" name="Text Box 1">
          <a:extLst>
            <a:ext uri="{FF2B5EF4-FFF2-40B4-BE49-F238E27FC236}">
              <a16:creationId xmlns:a16="http://schemas.microsoft.com/office/drawing/2014/main" id="{A080920B-7D35-48F3-965A-119F44FB0A34}"/>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5" name="Text Box 1">
          <a:extLst>
            <a:ext uri="{FF2B5EF4-FFF2-40B4-BE49-F238E27FC236}">
              <a16:creationId xmlns:a16="http://schemas.microsoft.com/office/drawing/2014/main" id="{638D9C16-AD80-4C9F-96BB-5829B44FEEF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6" name="Text Box 1">
          <a:extLst>
            <a:ext uri="{FF2B5EF4-FFF2-40B4-BE49-F238E27FC236}">
              <a16:creationId xmlns:a16="http://schemas.microsoft.com/office/drawing/2014/main" id="{522EED0B-998D-44CD-BB5D-241F742B8887}"/>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7" name="Text Box 1">
          <a:extLst>
            <a:ext uri="{FF2B5EF4-FFF2-40B4-BE49-F238E27FC236}">
              <a16:creationId xmlns:a16="http://schemas.microsoft.com/office/drawing/2014/main" id="{F867C90A-0444-46A8-BCF6-2B91923A36C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8" name="Text Box 1">
          <a:extLst>
            <a:ext uri="{FF2B5EF4-FFF2-40B4-BE49-F238E27FC236}">
              <a16:creationId xmlns:a16="http://schemas.microsoft.com/office/drawing/2014/main" id="{7B0082D2-F88A-4C83-85A5-27429BC1E86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59" name="Text Box 1">
          <a:extLst>
            <a:ext uri="{FF2B5EF4-FFF2-40B4-BE49-F238E27FC236}">
              <a16:creationId xmlns:a16="http://schemas.microsoft.com/office/drawing/2014/main" id="{C7BE6C13-2669-41E1-861D-9E110749A77D}"/>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0" name="Text Box 1">
          <a:extLst>
            <a:ext uri="{FF2B5EF4-FFF2-40B4-BE49-F238E27FC236}">
              <a16:creationId xmlns:a16="http://schemas.microsoft.com/office/drawing/2014/main" id="{08B56D13-EA61-4330-82FB-3E62E2F424AD}"/>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1" name="Text Box 1">
          <a:extLst>
            <a:ext uri="{FF2B5EF4-FFF2-40B4-BE49-F238E27FC236}">
              <a16:creationId xmlns:a16="http://schemas.microsoft.com/office/drawing/2014/main" id="{7CA7537B-4823-4ED1-B98A-8516788D55D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2" name="Text Box 1">
          <a:extLst>
            <a:ext uri="{FF2B5EF4-FFF2-40B4-BE49-F238E27FC236}">
              <a16:creationId xmlns:a16="http://schemas.microsoft.com/office/drawing/2014/main" id="{9855C3FF-41B4-4184-A904-07564034481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3" name="Text Box 1">
          <a:extLst>
            <a:ext uri="{FF2B5EF4-FFF2-40B4-BE49-F238E27FC236}">
              <a16:creationId xmlns:a16="http://schemas.microsoft.com/office/drawing/2014/main" id="{0FE41B1A-6228-4B2D-AB18-8EEEB8BC8920}"/>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4" name="Text Box 1">
          <a:extLst>
            <a:ext uri="{FF2B5EF4-FFF2-40B4-BE49-F238E27FC236}">
              <a16:creationId xmlns:a16="http://schemas.microsoft.com/office/drawing/2014/main" id="{56BA51C5-B86F-4ABD-AF27-7423F325B51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5" name="Text Box 1">
          <a:extLst>
            <a:ext uri="{FF2B5EF4-FFF2-40B4-BE49-F238E27FC236}">
              <a16:creationId xmlns:a16="http://schemas.microsoft.com/office/drawing/2014/main" id="{F5071B27-084A-4FE5-823D-A26BB289176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6" name="Text Box 1">
          <a:extLst>
            <a:ext uri="{FF2B5EF4-FFF2-40B4-BE49-F238E27FC236}">
              <a16:creationId xmlns:a16="http://schemas.microsoft.com/office/drawing/2014/main" id="{B3AC07C8-44E4-4702-A0B3-08A5BC26873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7" name="Text Box 1">
          <a:extLst>
            <a:ext uri="{FF2B5EF4-FFF2-40B4-BE49-F238E27FC236}">
              <a16:creationId xmlns:a16="http://schemas.microsoft.com/office/drawing/2014/main" id="{A3C3D694-B1DC-4E95-885C-2A29FD3F422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8" name="Text Box 1">
          <a:extLst>
            <a:ext uri="{FF2B5EF4-FFF2-40B4-BE49-F238E27FC236}">
              <a16:creationId xmlns:a16="http://schemas.microsoft.com/office/drawing/2014/main" id="{AEEDF710-542F-4949-AF2C-18A3A90EA34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69" name="Text Box 1">
          <a:extLst>
            <a:ext uri="{FF2B5EF4-FFF2-40B4-BE49-F238E27FC236}">
              <a16:creationId xmlns:a16="http://schemas.microsoft.com/office/drawing/2014/main" id="{91330061-DDE3-4F9E-A3B3-AB88093D4744}"/>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70" name="Text Box 1">
          <a:extLst>
            <a:ext uri="{FF2B5EF4-FFF2-40B4-BE49-F238E27FC236}">
              <a16:creationId xmlns:a16="http://schemas.microsoft.com/office/drawing/2014/main" id="{73FE0650-A11F-4461-85BC-6B2AA46BC84B}"/>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1" name="Text Box 1">
          <a:extLst>
            <a:ext uri="{FF2B5EF4-FFF2-40B4-BE49-F238E27FC236}">
              <a16:creationId xmlns:a16="http://schemas.microsoft.com/office/drawing/2014/main" id="{1ECE2A2B-91B9-4B2A-AD24-41B8EA85D05F}"/>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2" name="Text Box 1">
          <a:extLst>
            <a:ext uri="{FF2B5EF4-FFF2-40B4-BE49-F238E27FC236}">
              <a16:creationId xmlns:a16="http://schemas.microsoft.com/office/drawing/2014/main" id="{1D0A8498-6F0E-44DC-9672-5DB44623E93B}"/>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3" name="Text Box 1">
          <a:extLst>
            <a:ext uri="{FF2B5EF4-FFF2-40B4-BE49-F238E27FC236}">
              <a16:creationId xmlns:a16="http://schemas.microsoft.com/office/drawing/2014/main" id="{F5CEF9BD-A963-46F1-BCE8-ED9E991651C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4" name="Text Box 1">
          <a:extLst>
            <a:ext uri="{FF2B5EF4-FFF2-40B4-BE49-F238E27FC236}">
              <a16:creationId xmlns:a16="http://schemas.microsoft.com/office/drawing/2014/main" id="{4D9F1442-6AF0-4F4D-B9C7-C91CB4563F2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5" name="Text Box 1">
          <a:extLst>
            <a:ext uri="{FF2B5EF4-FFF2-40B4-BE49-F238E27FC236}">
              <a16:creationId xmlns:a16="http://schemas.microsoft.com/office/drawing/2014/main" id="{8828B57B-763A-44F3-B9E1-E69A11421BE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6" name="Text Box 1">
          <a:extLst>
            <a:ext uri="{FF2B5EF4-FFF2-40B4-BE49-F238E27FC236}">
              <a16:creationId xmlns:a16="http://schemas.microsoft.com/office/drawing/2014/main" id="{5C69F87D-14D3-4848-9D06-FAC6EAE0600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7" name="Text Box 1">
          <a:extLst>
            <a:ext uri="{FF2B5EF4-FFF2-40B4-BE49-F238E27FC236}">
              <a16:creationId xmlns:a16="http://schemas.microsoft.com/office/drawing/2014/main" id="{6EF69955-D1E3-438D-985F-F4D96A4006F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8" name="Text Box 1">
          <a:extLst>
            <a:ext uri="{FF2B5EF4-FFF2-40B4-BE49-F238E27FC236}">
              <a16:creationId xmlns:a16="http://schemas.microsoft.com/office/drawing/2014/main" id="{E9B6E479-0D8E-4765-8D34-5F11DF047400}"/>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79" name="Text Box 1">
          <a:extLst>
            <a:ext uri="{FF2B5EF4-FFF2-40B4-BE49-F238E27FC236}">
              <a16:creationId xmlns:a16="http://schemas.microsoft.com/office/drawing/2014/main" id="{676B699A-1434-4A20-B37A-497371CDA27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0" name="Text Box 1">
          <a:extLst>
            <a:ext uri="{FF2B5EF4-FFF2-40B4-BE49-F238E27FC236}">
              <a16:creationId xmlns:a16="http://schemas.microsoft.com/office/drawing/2014/main" id="{471D0F58-C1A1-4F13-A642-EE6F1EDCB0F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1" name="Text Box 1">
          <a:extLst>
            <a:ext uri="{FF2B5EF4-FFF2-40B4-BE49-F238E27FC236}">
              <a16:creationId xmlns:a16="http://schemas.microsoft.com/office/drawing/2014/main" id="{A6D20C3E-5CA7-45D0-8414-4FD20C2F088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2" name="Text Box 1">
          <a:extLst>
            <a:ext uri="{FF2B5EF4-FFF2-40B4-BE49-F238E27FC236}">
              <a16:creationId xmlns:a16="http://schemas.microsoft.com/office/drawing/2014/main" id="{41213189-0C26-4637-8749-06DD92FCD5E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3" name="Text Box 1">
          <a:extLst>
            <a:ext uri="{FF2B5EF4-FFF2-40B4-BE49-F238E27FC236}">
              <a16:creationId xmlns:a16="http://schemas.microsoft.com/office/drawing/2014/main" id="{D58A01DB-A927-4291-8363-CB53A3B7981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4" name="Text Box 1">
          <a:extLst>
            <a:ext uri="{FF2B5EF4-FFF2-40B4-BE49-F238E27FC236}">
              <a16:creationId xmlns:a16="http://schemas.microsoft.com/office/drawing/2014/main" id="{7DA236F0-90EA-481B-93C7-A261BD59888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5" name="Text Box 1">
          <a:extLst>
            <a:ext uri="{FF2B5EF4-FFF2-40B4-BE49-F238E27FC236}">
              <a16:creationId xmlns:a16="http://schemas.microsoft.com/office/drawing/2014/main" id="{91330CB6-7EFD-4E20-9EED-9834DFF366E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6" name="Text Box 1">
          <a:extLst>
            <a:ext uri="{FF2B5EF4-FFF2-40B4-BE49-F238E27FC236}">
              <a16:creationId xmlns:a16="http://schemas.microsoft.com/office/drawing/2014/main" id="{585DECD9-FCC9-42B1-A1A6-C247159EBB6D}"/>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87" name="Text Box 1">
          <a:extLst>
            <a:ext uri="{FF2B5EF4-FFF2-40B4-BE49-F238E27FC236}">
              <a16:creationId xmlns:a16="http://schemas.microsoft.com/office/drawing/2014/main" id="{75D4C872-6706-46A1-9CF5-002C3DB8A4B4}"/>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8" name="Text Box 1">
          <a:extLst>
            <a:ext uri="{FF2B5EF4-FFF2-40B4-BE49-F238E27FC236}">
              <a16:creationId xmlns:a16="http://schemas.microsoft.com/office/drawing/2014/main" id="{1EA6F504-33A0-4005-9D3E-50ECADB133B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89" name="Text Box 1">
          <a:extLst>
            <a:ext uri="{FF2B5EF4-FFF2-40B4-BE49-F238E27FC236}">
              <a16:creationId xmlns:a16="http://schemas.microsoft.com/office/drawing/2014/main" id="{21D54221-CC14-4F1A-8514-5E703D1E6DA9}"/>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0" name="Text Box 1">
          <a:extLst>
            <a:ext uri="{FF2B5EF4-FFF2-40B4-BE49-F238E27FC236}">
              <a16:creationId xmlns:a16="http://schemas.microsoft.com/office/drawing/2014/main" id="{32FCE328-60D2-40B3-A60A-4E8604032A2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1" name="Text Box 1">
          <a:extLst>
            <a:ext uri="{FF2B5EF4-FFF2-40B4-BE49-F238E27FC236}">
              <a16:creationId xmlns:a16="http://schemas.microsoft.com/office/drawing/2014/main" id="{629B295F-FE5A-4A01-984E-FF59C940270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2" name="Text Box 1">
          <a:extLst>
            <a:ext uri="{FF2B5EF4-FFF2-40B4-BE49-F238E27FC236}">
              <a16:creationId xmlns:a16="http://schemas.microsoft.com/office/drawing/2014/main" id="{234EA940-E213-46A1-9272-579A50A92A79}"/>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3" name="Text Box 1">
          <a:extLst>
            <a:ext uri="{FF2B5EF4-FFF2-40B4-BE49-F238E27FC236}">
              <a16:creationId xmlns:a16="http://schemas.microsoft.com/office/drawing/2014/main" id="{3A5A1478-A55A-45CC-BD04-4603AC7FFE7C}"/>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4" name="Text Box 1">
          <a:extLst>
            <a:ext uri="{FF2B5EF4-FFF2-40B4-BE49-F238E27FC236}">
              <a16:creationId xmlns:a16="http://schemas.microsoft.com/office/drawing/2014/main" id="{A6FC3625-CCE8-4FE3-98C0-92E7D5030765}"/>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5" name="Text Box 1">
          <a:extLst>
            <a:ext uri="{FF2B5EF4-FFF2-40B4-BE49-F238E27FC236}">
              <a16:creationId xmlns:a16="http://schemas.microsoft.com/office/drawing/2014/main" id="{49F0CB14-6F9B-41AE-B836-0CEED46581A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6" name="Text Box 1">
          <a:extLst>
            <a:ext uri="{FF2B5EF4-FFF2-40B4-BE49-F238E27FC236}">
              <a16:creationId xmlns:a16="http://schemas.microsoft.com/office/drawing/2014/main" id="{CA48FDE4-9AB7-4346-BE3F-CFC1CA6486EE}"/>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7" name="Text Box 1">
          <a:extLst>
            <a:ext uri="{FF2B5EF4-FFF2-40B4-BE49-F238E27FC236}">
              <a16:creationId xmlns:a16="http://schemas.microsoft.com/office/drawing/2014/main" id="{3C8509DC-8921-4728-B2C6-48629C9EBA1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8" name="Text Box 1">
          <a:extLst>
            <a:ext uri="{FF2B5EF4-FFF2-40B4-BE49-F238E27FC236}">
              <a16:creationId xmlns:a16="http://schemas.microsoft.com/office/drawing/2014/main" id="{DF810781-F9F0-4F03-BC1A-13FC0AB02141}"/>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99" name="Text Box 1">
          <a:extLst>
            <a:ext uri="{FF2B5EF4-FFF2-40B4-BE49-F238E27FC236}">
              <a16:creationId xmlns:a16="http://schemas.microsoft.com/office/drawing/2014/main" id="{B7AAA205-F10B-4940-B496-00F0518D7573}"/>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0" name="Text Box 1">
          <a:extLst>
            <a:ext uri="{FF2B5EF4-FFF2-40B4-BE49-F238E27FC236}">
              <a16:creationId xmlns:a16="http://schemas.microsoft.com/office/drawing/2014/main" id="{28939649-79CD-40C4-A818-1BA2385A9B8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1" name="Text Box 1">
          <a:extLst>
            <a:ext uri="{FF2B5EF4-FFF2-40B4-BE49-F238E27FC236}">
              <a16:creationId xmlns:a16="http://schemas.microsoft.com/office/drawing/2014/main" id="{31AF5BD1-30A8-4A92-95C3-F9981276D876}"/>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2" name="Text Box 1">
          <a:extLst>
            <a:ext uri="{FF2B5EF4-FFF2-40B4-BE49-F238E27FC236}">
              <a16:creationId xmlns:a16="http://schemas.microsoft.com/office/drawing/2014/main" id="{8C90A0E1-980C-4B7C-9EF2-AA1A5E32B34A}"/>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3" name="Text Box 1">
          <a:extLst>
            <a:ext uri="{FF2B5EF4-FFF2-40B4-BE49-F238E27FC236}">
              <a16:creationId xmlns:a16="http://schemas.microsoft.com/office/drawing/2014/main" id="{318C30F6-63B3-414C-90A6-5D051BCB9E3C}"/>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190500"/>
    <xdr:sp macro="" textlink="">
      <xdr:nvSpPr>
        <xdr:cNvPr id="104" name="Text Box 1">
          <a:extLst>
            <a:ext uri="{FF2B5EF4-FFF2-40B4-BE49-F238E27FC236}">
              <a16:creationId xmlns:a16="http://schemas.microsoft.com/office/drawing/2014/main" id="{93202250-07C9-481A-8CC4-150975EDB825}"/>
            </a:ext>
          </a:extLst>
        </xdr:cNvPr>
        <xdr:cNvSpPr txBox="1">
          <a:spLocks noChangeArrowheads="1"/>
        </xdr:cNvSpPr>
      </xdr:nvSpPr>
      <xdr:spPr bwMode="auto">
        <a:xfrm>
          <a:off x="8667750" y="5819775"/>
          <a:ext cx="9525" cy="190500"/>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5" name="Text Box 1">
          <a:extLst>
            <a:ext uri="{FF2B5EF4-FFF2-40B4-BE49-F238E27FC236}">
              <a16:creationId xmlns:a16="http://schemas.microsoft.com/office/drawing/2014/main" id="{D4965757-38C6-42B5-9BBF-40733BA19D42}"/>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6" name="Text Box 1">
          <a:extLst>
            <a:ext uri="{FF2B5EF4-FFF2-40B4-BE49-F238E27FC236}">
              <a16:creationId xmlns:a16="http://schemas.microsoft.com/office/drawing/2014/main" id="{20D345D1-131E-45C8-BCA5-56A061E12BDC}"/>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7" name="Text Box 1">
          <a:extLst>
            <a:ext uri="{FF2B5EF4-FFF2-40B4-BE49-F238E27FC236}">
              <a16:creationId xmlns:a16="http://schemas.microsoft.com/office/drawing/2014/main" id="{FC9BF0F2-4D0B-43DF-A73A-76D71602B1F0}"/>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oneCellAnchor>
    <xdr:from>
      <xdr:col>18</xdr:col>
      <xdr:colOff>0</xdr:colOff>
      <xdr:row>41</xdr:row>
      <xdr:rowOff>0</xdr:rowOff>
    </xdr:from>
    <xdr:ext cx="9525" cy="219075"/>
    <xdr:sp macro="" textlink="">
      <xdr:nvSpPr>
        <xdr:cNvPr id="108" name="Text Box 1">
          <a:extLst>
            <a:ext uri="{FF2B5EF4-FFF2-40B4-BE49-F238E27FC236}">
              <a16:creationId xmlns:a16="http://schemas.microsoft.com/office/drawing/2014/main" id="{8B84520F-F72D-479A-A586-F58FF6899F18}"/>
            </a:ext>
          </a:extLst>
        </xdr:cNvPr>
        <xdr:cNvSpPr txBox="1">
          <a:spLocks noChangeArrowheads="1"/>
        </xdr:cNvSpPr>
      </xdr:nvSpPr>
      <xdr:spPr bwMode="auto">
        <a:xfrm>
          <a:off x="8667750" y="5819775"/>
          <a:ext cx="9525" cy="219075"/>
        </a:xfrm>
        <a:prstGeom prst="rect">
          <a:avLst/>
        </a:prstGeom>
        <a:noFill/>
        <a:ln w="9525">
          <a:noFill/>
          <a:miter lim="800000"/>
          <a:headEnd/>
          <a:tailEnd/>
        </a:ln>
      </xdr:spPr>
    </xdr:sp>
    <xdr:clientData/>
  </xdr:oneCellAnchor>
</xdr:wsDr>
</file>

<file path=xl/drawings/drawing30.xml><?xml version="1.0" encoding="utf-8"?>
<c:userShapes xmlns:c="http://schemas.openxmlformats.org/drawingml/2006/chart">
  <cdr:relSizeAnchor xmlns:cdr="http://schemas.openxmlformats.org/drawingml/2006/chartDrawing">
    <cdr:from>
      <cdr:x>0.04092</cdr:x>
      <cdr:y>0</cdr:y>
    </cdr:from>
    <cdr:to>
      <cdr:x>1</cdr:x>
      <cdr:y>0.10406</cdr:y>
    </cdr:to>
    <cdr:sp macro="" textlink="">
      <cdr:nvSpPr>
        <cdr:cNvPr id="2" name="TextBox 1">
          <a:extLst xmlns:a="http://schemas.openxmlformats.org/drawingml/2006/main">
            <a:ext uri="{FF2B5EF4-FFF2-40B4-BE49-F238E27FC236}">
              <a16:creationId xmlns:a16="http://schemas.microsoft.com/office/drawing/2014/main" id="{0B036CE4-3060-453F-8F57-12DC6E418F1C}"/>
            </a:ext>
          </a:extLst>
        </cdr:cNvPr>
        <cdr:cNvSpPr txBox="1"/>
      </cdr:nvSpPr>
      <cdr:spPr>
        <a:xfrm xmlns:a="http://schemas.openxmlformats.org/drawingml/2006/main">
          <a:off x="114273" y="0"/>
          <a:ext cx="2678457" cy="5607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400" b="1">
              <a:latin typeface="Arial" panose="020B0604020202020204" pitchFamily="34" charset="0"/>
              <a:cs typeface="Arial" panose="020B0604020202020204" pitchFamily="34" charset="0"/>
            </a:rPr>
            <a:t>3. Social Assistance Program Indexation</a:t>
          </a:r>
          <a:r>
            <a:rPr lang="en-US" sz="1400" b="1" baseline="30000">
              <a:latin typeface="Arial" panose="020B0604020202020204" pitchFamily="34" charset="0"/>
              <a:cs typeface="Arial" panose="020B0604020202020204" pitchFamily="34" charset="0"/>
            </a:rPr>
            <a:t>3</a:t>
          </a:r>
        </a:p>
      </cdr:txBody>
    </cdr:sp>
  </cdr:relSizeAnchor>
</c:userShapes>
</file>

<file path=xl/drawings/drawing31.xml><?xml version="1.0" encoding="utf-8"?>
<c:userShapes xmlns:c="http://schemas.openxmlformats.org/drawingml/2006/chart">
  <cdr:relSizeAnchor xmlns:cdr="http://schemas.openxmlformats.org/drawingml/2006/chartDrawing">
    <cdr:from>
      <cdr:x>0.03298</cdr:x>
      <cdr:y>1.85041E-7</cdr:y>
    </cdr:from>
    <cdr:to>
      <cdr:x>0.99229</cdr:x>
      <cdr:y>0.05402</cdr:y>
    </cdr:to>
    <cdr:sp macro="" textlink="">
      <cdr:nvSpPr>
        <cdr:cNvPr id="2" name="TextBox 1">
          <a:extLst xmlns:a="http://schemas.openxmlformats.org/drawingml/2006/main">
            <a:ext uri="{FF2B5EF4-FFF2-40B4-BE49-F238E27FC236}">
              <a16:creationId xmlns:a16="http://schemas.microsoft.com/office/drawing/2014/main" id="{6A2DB9DD-0E6C-40E3-B3F8-C4EBF7296BCF}"/>
            </a:ext>
          </a:extLst>
        </cdr:cNvPr>
        <cdr:cNvSpPr txBox="1"/>
      </cdr:nvSpPr>
      <cdr:spPr>
        <a:xfrm xmlns:a="http://schemas.openxmlformats.org/drawingml/2006/main">
          <a:off x="95797" y="1"/>
          <a:ext cx="2786333" cy="291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4. Public Wages Indexation</a:t>
          </a:r>
          <a:r>
            <a:rPr lang="en-US" sz="1400" b="1" baseline="30000">
              <a:latin typeface="Arial" panose="020B0604020202020204" pitchFamily="34" charset="0"/>
              <a:cs typeface="Arial" panose="020B0604020202020204" pitchFamily="34" charset="0"/>
            </a:rPr>
            <a:t>4</a:t>
          </a: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0.00819</cdr:y>
    </cdr:from>
    <cdr:to>
      <cdr:x>1</cdr:x>
      <cdr:y>0.06704</cdr:y>
    </cdr:to>
    <cdr:sp macro="" textlink="">
      <cdr:nvSpPr>
        <cdr:cNvPr id="2" name="TextBox 1">
          <a:extLst xmlns:a="http://schemas.openxmlformats.org/drawingml/2006/main">
            <a:ext uri="{FF2B5EF4-FFF2-40B4-BE49-F238E27FC236}">
              <a16:creationId xmlns:a16="http://schemas.microsoft.com/office/drawing/2014/main" id="{FAF300D6-3322-4E6E-81D4-1D5F762C0AF0}"/>
            </a:ext>
          </a:extLst>
        </cdr:cNvPr>
        <cdr:cNvSpPr txBox="1"/>
      </cdr:nvSpPr>
      <cdr:spPr>
        <a:xfrm xmlns:a="http://schemas.openxmlformats.org/drawingml/2006/main">
          <a:off x="0" y="40036"/>
          <a:ext cx="2334617" cy="287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Segoe UI" panose="020B0502040204020203" pitchFamily="34" charset="0"/>
              <a:cs typeface="Segoe UI" panose="020B0502040204020203" pitchFamily="34" charset="0"/>
            </a:rPr>
            <a:t>2. Pension Indexation</a:t>
          </a:r>
          <a:r>
            <a:rPr lang="en-US" sz="1400" b="1" baseline="30000">
              <a:latin typeface="Segoe UI" panose="020B0502040204020203" pitchFamily="34" charset="0"/>
              <a:cs typeface="Segoe UI" panose="020B0502040204020203" pitchFamily="34" charset="0"/>
            </a:rPr>
            <a:t>2</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607560</xdr:colOff>
      <xdr:row>2</xdr:row>
      <xdr:rowOff>48985</xdr:rowOff>
    </xdr:from>
    <xdr:to>
      <xdr:col>7</xdr:col>
      <xdr:colOff>540883</xdr:colOff>
      <xdr:row>16</xdr:row>
      <xdr:rowOff>115661</xdr:rowOff>
    </xdr:to>
    <xdr:graphicFrame macro="">
      <xdr:nvGraphicFramePr>
        <xdr:cNvPr id="2" name="Chart 1">
          <a:extLst>
            <a:ext uri="{FF2B5EF4-FFF2-40B4-BE49-F238E27FC236}">
              <a16:creationId xmlns:a16="http://schemas.microsoft.com/office/drawing/2014/main" id="{DE76AA62-0195-4980-A493-3803F9036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256614</xdr:colOff>
      <xdr:row>16</xdr:row>
      <xdr:rowOff>75287</xdr:rowOff>
    </xdr:from>
    <xdr:to>
      <xdr:col>6</xdr:col>
      <xdr:colOff>267011</xdr:colOff>
      <xdr:row>18</xdr:row>
      <xdr:rowOff>58114</xdr:rowOff>
    </xdr:to>
    <xdr:sp macro="" textlink="">
      <xdr:nvSpPr>
        <xdr:cNvPr id="3" name="TextBox 2">
          <a:extLst>
            <a:ext uri="{FF2B5EF4-FFF2-40B4-BE49-F238E27FC236}">
              <a16:creationId xmlns:a16="http://schemas.microsoft.com/office/drawing/2014/main" id="{DA6A1228-30C8-45DC-A090-0A1074824207}"/>
            </a:ext>
          </a:extLst>
        </xdr:cNvPr>
        <xdr:cNvSpPr txBox="1"/>
      </xdr:nvSpPr>
      <xdr:spPr>
        <a:xfrm>
          <a:off x="2085414" y="2694662"/>
          <a:ext cx="1839197" cy="30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latin typeface="Arial" panose="020B0604020202020204" pitchFamily="34" charset="0"/>
              <a:cs typeface="Arial" panose="020B0604020202020204" pitchFamily="34" charset="0"/>
            </a:rPr>
            <a:t>Year</a:t>
          </a:r>
          <a:r>
            <a:rPr lang="en-US" sz="1600" baseline="0">
              <a:solidFill>
                <a:schemeClr val="tx1"/>
              </a:solidFill>
              <a:latin typeface="Arial" panose="020B0604020202020204" pitchFamily="34" charset="0"/>
              <a:cs typeface="Arial" panose="020B0604020202020204" pitchFamily="34" charset="0"/>
            </a:rPr>
            <a:t> after shock</a:t>
          </a:r>
          <a:endParaRPr lang="en-US" sz="1600">
            <a:solidFill>
              <a:schemeClr val="tx1"/>
            </a:solidFill>
            <a:latin typeface="Arial" panose="020B0604020202020204" pitchFamily="34" charset="0"/>
            <a:cs typeface="Arial" panose="020B0604020202020204" pitchFamily="34" charset="0"/>
          </a:endParaRPr>
        </a:p>
      </xdr:txBody>
    </xdr:sp>
    <xdr:clientData/>
  </xdr:twoCellAnchor>
  <xdr:twoCellAnchor>
    <xdr:from>
      <xdr:col>8</xdr:col>
      <xdr:colOff>166688</xdr:colOff>
      <xdr:row>3</xdr:row>
      <xdr:rowOff>82324</xdr:rowOff>
    </xdr:from>
    <xdr:to>
      <xdr:col>15</xdr:col>
      <xdr:colOff>233363</xdr:colOff>
      <xdr:row>17</xdr:row>
      <xdr:rowOff>44223</xdr:rowOff>
    </xdr:to>
    <xdr:graphicFrame macro="">
      <xdr:nvGraphicFramePr>
        <xdr:cNvPr id="4" name="Chart 6">
          <a:extLst>
            <a:ext uri="{FF2B5EF4-FFF2-40B4-BE49-F238E27FC236}">
              <a16:creationId xmlns:a16="http://schemas.microsoft.com/office/drawing/2014/main" id="{0D26A51F-77E7-4A3B-A136-6E63E3F78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529896</xdr:colOff>
      <xdr:row>16</xdr:row>
      <xdr:rowOff>75229</xdr:rowOff>
    </xdr:from>
    <xdr:to>
      <xdr:col>13</xdr:col>
      <xdr:colOff>538716</xdr:colOff>
      <xdr:row>18</xdr:row>
      <xdr:rowOff>68530</xdr:rowOff>
    </xdr:to>
    <xdr:sp macro="" textlink="">
      <xdr:nvSpPr>
        <xdr:cNvPr id="5" name="TextBox 4">
          <a:extLst>
            <a:ext uri="{FF2B5EF4-FFF2-40B4-BE49-F238E27FC236}">
              <a16:creationId xmlns:a16="http://schemas.microsoft.com/office/drawing/2014/main" id="{BC457B77-5921-4AC1-BD68-EA1E4C93D617}"/>
            </a:ext>
          </a:extLst>
        </xdr:cNvPr>
        <xdr:cNvSpPr txBox="1"/>
      </xdr:nvSpPr>
      <xdr:spPr>
        <a:xfrm>
          <a:off x="6625896" y="2694604"/>
          <a:ext cx="1837620" cy="31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latin typeface="Arial" panose="020B0604020202020204" pitchFamily="34" charset="0"/>
              <a:cs typeface="Arial" panose="020B0604020202020204" pitchFamily="34" charset="0"/>
            </a:rPr>
            <a:t>Year</a:t>
          </a:r>
          <a:r>
            <a:rPr lang="en-US" sz="1600" baseline="0">
              <a:solidFill>
                <a:schemeClr val="tx1"/>
              </a:solidFill>
              <a:latin typeface="Arial" panose="020B0604020202020204" pitchFamily="34" charset="0"/>
              <a:cs typeface="Arial" panose="020B0604020202020204" pitchFamily="34" charset="0"/>
            </a:rPr>
            <a:t> after shock</a:t>
          </a:r>
          <a:endParaRPr lang="en-US" sz="1600">
            <a:solidFill>
              <a:schemeClr val="tx1"/>
            </a:solidFill>
            <a:latin typeface="Arial" panose="020B0604020202020204" pitchFamily="34" charset="0"/>
            <a:cs typeface="Arial" panose="020B0604020202020204" pitchFamily="34" charset="0"/>
          </a:endParaRPr>
        </a:p>
      </xdr:txBody>
    </xdr:sp>
    <xdr:clientData/>
  </xdr:twoCellAnchor>
  <xdr:twoCellAnchor>
    <xdr:from>
      <xdr:col>10</xdr:col>
      <xdr:colOff>510161</xdr:colOff>
      <xdr:row>2</xdr:row>
      <xdr:rowOff>84547</xdr:rowOff>
    </xdr:from>
    <xdr:to>
      <xdr:col>13</xdr:col>
      <xdr:colOff>517374</xdr:colOff>
      <xdr:row>4</xdr:row>
      <xdr:rowOff>68775</xdr:rowOff>
    </xdr:to>
    <xdr:sp macro="" textlink="">
      <xdr:nvSpPr>
        <xdr:cNvPr id="6" name="TextBox 5">
          <a:extLst>
            <a:ext uri="{FF2B5EF4-FFF2-40B4-BE49-F238E27FC236}">
              <a16:creationId xmlns:a16="http://schemas.microsoft.com/office/drawing/2014/main" id="{A72B93A2-40D1-4DD2-80DD-A2200E24C055}"/>
            </a:ext>
          </a:extLst>
        </xdr:cNvPr>
        <xdr:cNvSpPr txBox="1"/>
      </xdr:nvSpPr>
      <xdr:spPr>
        <a:xfrm>
          <a:off x="6606161" y="436972"/>
          <a:ext cx="1836013" cy="308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latin typeface="Arial" panose="020B0604020202020204" pitchFamily="34" charset="0"/>
              <a:cs typeface="Arial" panose="020B0604020202020204" pitchFamily="34" charset="0"/>
            </a:rPr>
            <a:t>2. Overall</a:t>
          </a:r>
          <a:r>
            <a:rPr lang="en-US" sz="1600" baseline="0">
              <a:solidFill>
                <a:schemeClr val="tx1"/>
              </a:solidFill>
              <a:latin typeface="Arial" panose="020B0604020202020204" pitchFamily="34" charset="0"/>
              <a:cs typeface="Arial" panose="020B0604020202020204" pitchFamily="34" charset="0"/>
            </a:rPr>
            <a:t> Balance</a:t>
          </a:r>
          <a:endParaRPr lang="en-US" sz="1600">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92205</xdr:colOff>
      <xdr:row>2</xdr:row>
      <xdr:rowOff>86832</xdr:rowOff>
    </xdr:from>
    <xdr:to>
      <xdr:col>6</xdr:col>
      <xdr:colOff>91460</xdr:colOff>
      <xdr:row>4</xdr:row>
      <xdr:rowOff>86610</xdr:rowOff>
    </xdr:to>
    <xdr:sp macro="" textlink="">
      <xdr:nvSpPr>
        <xdr:cNvPr id="7" name="TextBox 6">
          <a:extLst>
            <a:ext uri="{FF2B5EF4-FFF2-40B4-BE49-F238E27FC236}">
              <a16:creationId xmlns:a16="http://schemas.microsoft.com/office/drawing/2014/main" id="{3AA88B23-A3E4-4798-B903-ED97BEDE203B}"/>
            </a:ext>
          </a:extLst>
        </xdr:cNvPr>
        <xdr:cNvSpPr txBox="1"/>
      </xdr:nvSpPr>
      <xdr:spPr>
        <a:xfrm>
          <a:off x="1921005" y="439257"/>
          <a:ext cx="1828055" cy="32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tx1"/>
              </a:solidFill>
              <a:latin typeface="Arial" panose="020B0604020202020204" pitchFamily="34" charset="0"/>
              <a:cs typeface="Arial" panose="020B0604020202020204" pitchFamily="34" charset="0"/>
            </a:rPr>
            <a:t>1. Debt</a:t>
          </a:r>
        </a:p>
      </xdr:txBody>
    </xdr:sp>
    <xdr:clientData/>
  </xdr:twoCellAnchor>
  <xdr:twoCellAnchor>
    <xdr:from>
      <xdr:col>0</xdr:col>
      <xdr:colOff>580345</xdr:colOff>
      <xdr:row>18</xdr:row>
      <xdr:rowOff>103412</xdr:rowOff>
    </xdr:from>
    <xdr:to>
      <xdr:col>15</xdr:col>
      <xdr:colOff>260577</xdr:colOff>
      <xdr:row>25</xdr:row>
      <xdr:rowOff>54427</xdr:rowOff>
    </xdr:to>
    <xdr:sp macro="" textlink="">
      <xdr:nvSpPr>
        <xdr:cNvPr id="8" name="TextBox 7">
          <a:extLst>
            <a:ext uri="{FF2B5EF4-FFF2-40B4-BE49-F238E27FC236}">
              <a16:creationId xmlns:a16="http://schemas.microsoft.com/office/drawing/2014/main" id="{89937796-61BF-4B82-9FED-A87BA838F25C}"/>
            </a:ext>
          </a:extLst>
        </xdr:cNvPr>
        <xdr:cNvSpPr txBox="1"/>
      </xdr:nvSpPr>
      <xdr:spPr>
        <a:xfrm>
          <a:off x="580345" y="3046637"/>
          <a:ext cx="8824232" cy="10844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 IMF staff estimates using data from the IMF Public Finances in Modern History and World Economic Outlook databases. </a:t>
          </a:r>
        </a:p>
        <a:p>
          <a:r>
            <a:rPr lang="en-US" sz="1000">
              <a:solidFill>
                <a:schemeClr val="dk1"/>
              </a:solidFill>
              <a:effectLst/>
              <a:latin typeface="Arial" panose="020B0604020202020204" pitchFamily="34" charset="0"/>
              <a:ea typeface="+mn-ea"/>
              <a:cs typeface="Arial" panose="020B0604020202020204" pitchFamily="34" charset="0"/>
            </a:rPr>
            <a:t>Note: The data cover the period 1962–2019. Fixed effects</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ordinary least squares regressions use the GDP deflator as the inflation indicator and include 85 countries. Countries with populations of less than 1 million in 2019 are excluded, as well as observations with annual GDP deflator inflation higher than 30 percent in absolute terms or for which the original data source changes. The panels plot the average impulse response and the 90 percent confidence bands, with standard errors clustered at the country level. Average debt to GDP in the sample is approximately 50 percent. See Online Annex 2.2.</a:t>
          </a:r>
          <a:endParaRPr lang="en-US" sz="1000">
            <a:latin typeface="Arial" panose="020B0604020202020204" pitchFamily="34" charset="0"/>
            <a:cs typeface="Arial" panose="020B0604020202020204" pitchFamily="34" charset="0"/>
          </a:endParaRPr>
        </a:p>
      </xdr:txBody>
    </xdr:sp>
    <xdr:clientData/>
  </xdr:twoCellAnchor>
  <xdr:twoCellAnchor editAs="oneCell">
    <xdr:from>
      <xdr:col>17</xdr:col>
      <xdr:colOff>57150</xdr:colOff>
      <xdr:row>22</xdr:row>
      <xdr:rowOff>14288</xdr:rowOff>
    </xdr:from>
    <xdr:to>
      <xdr:col>26</xdr:col>
      <xdr:colOff>525153</xdr:colOff>
      <xdr:row>32</xdr:row>
      <xdr:rowOff>95249</xdr:rowOff>
    </xdr:to>
    <xdr:pic>
      <xdr:nvPicPr>
        <xdr:cNvPr id="9" name="Picture 1">
          <a:extLst>
            <a:ext uri="{FF2B5EF4-FFF2-40B4-BE49-F238E27FC236}">
              <a16:creationId xmlns:a16="http://schemas.microsoft.com/office/drawing/2014/main" id="{B2E9028E-D9C0-412E-9C8E-2B8ACC83DA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50" y="3605213"/>
          <a:ext cx="5954403" cy="1700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580344</xdr:colOff>
      <xdr:row>18</xdr:row>
      <xdr:rowOff>103412</xdr:rowOff>
    </xdr:from>
    <xdr:to>
      <xdr:col>15</xdr:col>
      <xdr:colOff>409013</xdr:colOff>
      <xdr:row>25</xdr:row>
      <xdr:rowOff>78441</xdr:rowOff>
    </xdr:to>
    <xdr:sp macro="" textlink="">
      <xdr:nvSpPr>
        <xdr:cNvPr id="2" name="TextBox 1">
          <a:extLst>
            <a:ext uri="{FF2B5EF4-FFF2-40B4-BE49-F238E27FC236}">
              <a16:creationId xmlns:a16="http://schemas.microsoft.com/office/drawing/2014/main" id="{65D81FC0-F9F5-4B94-BBE8-05D440CBBAE9}"/>
            </a:ext>
          </a:extLst>
        </xdr:cNvPr>
        <xdr:cNvSpPr txBox="1"/>
      </xdr:nvSpPr>
      <xdr:spPr>
        <a:xfrm>
          <a:off x="580344" y="3046637"/>
          <a:ext cx="8972669" cy="11085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 IMF staff estimates using data from the IMF Public Finances in Modern History and World Economic Outlook databases. </a:t>
          </a:r>
        </a:p>
        <a:p>
          <a:r>
            <a:rPr lang="en-US" sz="1000">
              <a:solidFill>
                <a:schemeClr val="dk1"/>
              </a:solidFill>
              <a:effectLst/>
              <a:latin typeface="Arial" panose="020B0604020202020204" pitchFamily="34" charset="0"/>
              <a:ea typeface="+mn-ea"/>
              <a:cs typeface="Arial" panose="020B0604020202020204" pitchFamily="34" charset="0"/>
            </a:rPr>
            <a:t>Note: Fixed effects ordinary least squares regressions include 85 countries during the period with available data 1992–2019. Countries with population of less than 1 million in 2019 are excluded, as well as observations with annual surprise or expected inflation higher than 30 percent in absolute terms or for which the original data source changes. Expected inflation is defined as the one-year-ahead forecast; surprise inflation is realized minus expected inflation. The panels plot the average impulse response and the 90 percent confidence bands (blue shaded areas and red short-dashed lines), with standard errors clustered at the country level. See Online Annex 2.2 for details.</a:t>
          </a:r>
          <a:endParaRPr lang="en-US" sz="1000">
            <a:latin typeface="Arial" panose="020B0604020202020204" pitchFamily="34" charset="0"/>
            <a:cs typeface="Arial" panose="020B0604020202020204" pitchFamily="34" charset="0"/>
          </a:endParaRPr>
        </a:p>
      </xdr:txBody>
    </xdr:sp>
    <xdr:clientData/>
  </xdr:twoCellAnchor>
  <xdr:twoCellAnchor>
    <xdr:from>
      <xdr:col>0</xdr:col>
      <xdr:colOff>638735</xdr:colOff>
      <xdr:row>2</xdr:row>
      <xdr:rowOff>48186</xdr:rowOff>
    </xdr:from>
    <xdr:to>
      <xdr:col>8</xdr:col>
      <xdr:colOff>37819</xdr:colOff>
      <xdr:row>16</xdr:row>
      <xdr:rowOff>134751</xdr:rowOff>
    </xdr:to>
    <xdr:graphicFrame macro="">
      <xdr:nvGraphicFramePr>
        <xdr:cNvPr id="3" name="Chart 1">
          <a:extLst>
            <a:ext uri="{FF2B5EF4-FFF2-40B4-BE49-F238E27FC236}">
              <a16:creationId xmlns:a16="http://schemas.microsoft.com/office/drawing/2014/main" id="{6D0A9613-9744-47B4-8B0D-1CF4FD3AA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207799</xdr:colOff>
      <xdr:row>16</xdr:row>
      <xdr:rowOff>36567</xdr:rowOff>
    </xdr:from>
    <xdr:to>
      <xdr:col>6</xdr:col>
      <xdr:colOff>258801</xdr:colOff>
      <xdr:row>18</xdr:row>
      <xdr:rowOff>45787</xdr:rowOff>
    </xdr:to>
    <xdr:sp macro="" textlink="">
      <xdr:nvSpPr>
        <xdr:cNvPr id="4" name="TextBox 3">
          <a:extLst>
            <a:ext uri="{FF2B5EF4-FFF2-40B4-BE49-F238E27FC236}">
              <a16:creationId xmlns:a16="http://schemas.microsoft.com/office/drawing/2014/main" id="{91EF6D95-2122-4FD8-A697-64014A1DA88B}"/>
            </a:ext>
          </a:extLst>
        </xdr:cNvPr>
        <xdr:cNvSpPr txBox="1"/>
      </xdr:nvSpPr>
      <xdr:spPr>
        <a:xfrm>
          <a:off x="2036599" y="2655942"/>
          <a:ext cx="1879802" cy="333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latin typeface="Arial" panose="020B0604020202020204" pitchFamily="34" charset="0"/>
              <a:cs typeface="Arial" panose="020B0604020202020204" pitchFamily="34" charset="0"/>
            </a:rPr>
            <a:t>Year</a:t>
          </a:r>
          <a:r>
            <a:rPr lang="en-US" sz="1600" baseline="0">
              <a:solidFill>
                <a:schemeClr val="tx1"/>
              </a:solidFill>
              <a:latin typeface="Arial" panose="020B0604020202020204" pitchFamily="34" charset="0"/>
              <a:cs typeface="Arial" panose="020B0604020202020204" pitchFamily="34" charset="0"/>
            </a:rPr>
            <a:t> after shock</a:t>
          </a:r>
          <a:endParaRPr lang="en-US" sz="1600">
            <a:solidFill>
              <a:schemeClr val="tx1"/>
            </a:solidFill>
            <a:latin typeface="Arial" panose="020B0604020202020204" pitchFamily="34" charset="0"/>
            <a:cs typeface="Arial" panose="020B0604020202020204" pitchFamily="34" charset="0"/>
          </a:endParaRPr>
        </a:p>
      </xdr:txBody>
    </xdr:sp>
    <xdr:clientData/>
  </xdr:twoCellAnchor>
  <xdr:twoCellAnchor>
    <xdr:from>
      <xdr:col>8</xdr:col>
      <xdr:colOff>280707</xdr:colOff>
      <xdr:row>2</xdr:row>
      <xdr:rowOff>76761</xdr:rowOff>
    </xdr:from>
    <xdr:to>
      <xdr:col>15</xdr:col>
      <xdr:colOff>340098</xdr:colOff>
      <xdr:row>16</xdr:row>
      <xdr:rowOff>139513</xdr:rowOff>
    </xdr:to>
    <xdr:graphicFrame macro="">
      <xdr:nvGraphicFramePr>
        <xdr:cNvPr id="5" name="Chart 1">
          <a:extLst>
            <a:ext uri="{FF2B5EF4-FFF2-40B4-BE49-F238E27FC236}">
              <a16:creationId xmlns:a16="http://schemas.microsoft.com/office/drawing/2014/main" id="{1D7072D7-9698-4126-A89A-D745E84A6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515068</xdr:colOff>
      <xdr:row>16</xdr:row>
      <xdr:rowOff>72762</xdr:rowOff>
    </xdr:from>
    <xdr:to>
      <xdr:col>13</xdr:col>
      <xdr:colOff>572434</xdr:colOff>
      <xdr:row>18</xdr:row>
      <xdr:rowOff>74139</xdr:rowOff>
    </xdr:to>
    <xdr:sp macro="" textlink="">
      <xdr:nvSpPr>
        <xdr:cNvPr id="6" name="TextBox 5">
          <a:extLst>
            <a:ext uri="{FF2B5EF4-FFF2-40B4-BE49-F238E27FC236}">
              <a16:creationId xmlns:a16="http://schemas.microsoft.com/office/drawing/2014/main" id="{D9F1261A-A67A-423C-9811-ACF6982A1A3B}"/>
            </a:ext>
          </a:extLst>
        </xdr:cNvPr>
        <xdr:cNvSpPr txBox="1"/>
      </xdr:nvSpPr>
      <xdr:spPr>
        <a:xfrm>
          <a:off x="6611068" y="2692137"/>
          <a:ext cx="1886166" cy="3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latin typeface="Arial" panose="020B0604020202020204" pitchFamily="34" charset="0"/>
              <a:cs typeface="Arial" panose="020B0604020202020204" pitchFamily="34" charset="0"/>
            </a:rPr>
            <a:t>Year</a:t>
          </a:r>
          <a:r>
            <a:rPr lang="en-US" sz="1600" baseline="0">
              <a:solidFill>
                <a:schemeClr val="tx1"/>
              </a:solidFill>
              <a:latin typeface="Arial" panose="020B0604020202020204" pitchFamily="34" charset="0"/>
              <a:cs typeface="Arial" panose="020B0604020202020204" pitchFamily="34" charset="0"/>
            </a:rPr>
            <a:t> after shock</a:t>
          </a:r>
          <a:endParaRPr lang="en-US" sz="1600">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140994</xdr:colOff>
      <xdr:row>1</xdr:row>
      <xdr:rowOff>135740</xdr:rowOff>
    </xdr:from>
    <xdr:to>
      <xdr:col>6</xdr:col>
      <xdr:colOff>196778</xdr:colOff>
      <xdr:row>4</xdr:row>
      <xdr:rowOff>46932</xdr:rowOff>
    </xdr:to>
    <xdr:sp macro="" textlink="">
      <xdr:nvSpPr>
        <xdr:cNvPr id="7" name="TextBox 6">
          <a:extLst>
            <a:ext uri="{FF2B5EF4-FFF2-40B4-BE49-F238E27FC236}">
              <a16:creationId xmlns:a16="http://schemas.microsoft.com/office/drawing/2014/main" id="{3BE55D08-C9D4-47E9-9FA6-22BD92E62761}"/>
            </a:ext>
          </a:extLst>
        </xdr:cNvPr>
        <xdr:cNvSpPr txBox="1"/>
      </xdr:nvSpPr>
      <xdr:spPr>
        <a:xfrm>
          <a:off x="1969794" y="326240"/>
          <a:ext cx="1884584" cy="396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tx1"/>
              </a:solidFill>
              <a:latin typeface="Arial" panose="020B0604020202020204" pitchFamily="34" charset="0"/>
              <a:cs typeface="Arial" panose="020B0604020202020204" pitchFamily="34" charset="0"/>
            </a:rPr>
            <a:t>1. Surprise</a:t>
          </a:r>
        </a:p>
      </xdr:txBody>
    </xdr:sp>
    <xdr:clientData/>
  </xdr:twoCellAnchor>
  <xdr:twoCellAnchor>
    <xdr:from>
      <xdr:col>10</xdr:col>
      <xdr:colOff>405172</xdr:colOff>
      <xdr:row>1</xdr:row>
      <xdr:rowOff>134470</xdr:rowOff>
    </xdr:from>
    <xdr:to>
      <xdr:col>13</xdr:col>
      <xdr:colOff>445106</xdr:colOff>
      <xdr:row>4</xdr:row>
      <xdr:rowOff>106785</xdr:rowOff>
    </xdr:to>
    <xdr:sp macro="" textlink="">
      <xdr:nvSpPr>
        <xdr:cNvPr id="8" name="TextBox 7">
          <a:extLst>
            <a:ext uri="{FF2B5EF4-FFF2-40B4-BE49-F238E27FC236}">
              <a16:creationId xmlns:a16="http://schemas.microsoft.com/office/drawing/2014/main" id="{2C04CFAA-D486-4F8D-A003-7B964EC01888}"/>
            </a:ext>
          </a:extLst>
        </xdr:cNvPr>
        <xdr:cNvSpPr txBox="1"/>
      </xdr:nvSpPr>
      <xdr:spPr>
        <a:xfrm>
          <a:off x="6501172" y="324970"/>
          <a:ext cx="1868734" cy="458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tx1"/>
              </a:solidFill>
              <a:latin typeface="Arial" panose="020B0604020202020204" pitchFamily="34" charset="0"/>
              <a:cs typeface="Arial" panose="020B0604020202020204" pitchFamily="34" charset="0"/>
            </a:rPr>
            <a:t>2. Expected</a:t>
          </a:r>
        </a:p>
      </xdr:txBody>
    </xdr:sp>
    <xdr:clientData/>
  </xdr:twoCellAnchor>
  <xdr:twoCellAnchor editAs="oneCell">
    <xdr:from>
      <xdr:col>17</xdr:col>
      <xdr:colOff>47625</xdr:colOff>
      <xdr:row>22</xdr:row>
      <xdr:rowOff>9526</xdr:rowOff>
    </xdr:from>
    <xdr:to>
      <xdr:col>27</xdr:col>
      <xdr:colOff>1361</xdr:colOff>
      <xdr:row>33</xdr:row>
      <xdr:rowOff>34319</xdr:rowOff>
    </xdr:to>
    <xdr:pic>
      <xdr:nvPicPr>
        <xdr:cNvPr id="9" name="Picture 8">
          <a:extLst>
            <a:ext uri="{FF2B5EF4-FFF2-40B4-BE49-F238E27FC236}">
              <a16:creationId xmlns:a16="http://schemas.microsoft.com/office/drawing/2014/main" id="{8E193290-1B7C-40FD-B639-6E2EC6CE83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10825" y="3600451"/>
          <a:ext cx="6049736" cy="1805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240806</xdr:colOff>
      <xdr:row>19</xdr:row>
      <xdr:rowOff>85341</xdr:rowOff>
    </xdr:from>
    <xdr:to>
      <xdr:col>16</xdr:col>
      <xdr:colOff>213534</xdr:colOff>
      <xdr:row>35</xdr:row>
      <xdr:rowOff>30926</xdr:rowOff>
    </xdr:to>
    <xdr:graphicFrame macro="">
      <xdr:nvGraphicFramePr>
        <xdr:cNvPr id="2" name="Chart 1">
          <a:extLst>
            <a:ext uri="{FF2B5EF4-FFF2-40B4-BE49-F238E27FC236}">
              <a16:creationId xmlns:a16="http://schemas.microsoft.com/office/drawing/2014/main" id="{F408C8FB-5BA4-44D8-A3D5-4492AC23D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361623</xdr:colOff>
      <xdr:row>19</xdr:row>
      <xdr:rowOff>86844</xdr:rowOff>
    </xdr:from>
    <xdr:to>
      <xdr:col>16</xdr:col>
      <xdr:colOff>247650</xdr:colOff>
      <xdr:row>24</xdr:row>
      <xdr:rowOff>139700</xdr:rowOff>
    </xdr:to>
    <xdr:sp macro="" textlink="">
      <xdr:nvSpPr>
        <xdr:cNvPr id="3" name="TextBox 2">
          <a:extLst>
            <a:ext uri="{FF2B5EF4-FFF2-40B4-BE49-F238E27FC236}">
              <a16:creationId xmlns:a16="http://schemas.microsoft.com/office/drawing/2014/main" id="{550283AC-CAA0-4302-AA64-541208CC7A93}"/>
            </a:ext>
          </a:extLst>
        </xdr:cNvPr>
        <xdr:cNvSpPr txBox="1"/>
      </xdr:nvSpPr>
      <xdr:spPr>
        <a:xfrm>
          <a:off x="7676823" y="3191994"/>
          <a:ext cx="2324427" cy="86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6. Nominal Long-term Bond Rate</a:t>
          </a:r>
        </a:p>
        <a:p>
          <a:pPr algn="ctr"/>
          <a:r>
            <a:rPr lang="en-US" sz="1600" b="0">
              <a:latin typeface="Arial" panose="020B0604020202020204" pitchFamily="34" charset="0"/>
              <a:cs typeface="Arial" panose="020B0604020202020204" pitchFamily="34" charset="0"/>
            </a:rPr>
            <a:t>(percent)</a:t>
          </a:r>
        </a:p>
      </xdr:txBody>
    </xdr:sp>
    <xdr:clientData/>
  </xdr:twoCellAnchor>
  <xdr:twoCellAnchor>
    <xdr:from>
      <xdr:col>6</xdr:col>
      <xdr:colOff>383350</xdr:colOff>
      <xdr:row>19</xdr:row>
      <xdr:rowOff>107860</xdr:rowOff>
    </xdr:from>
    <xdr:to>
      <xdr:col>11</xdr:col>
      <xdr:colOff>349292</xdr:colOff>
      <xdr:row>35</xdr:row>
      <xdr:rowOff>37854</xdr:rowOff>
    </xdr:to>
    <xdr:graphicFrame macro="">
      <xdr:nvGraphicFramePr>
        <xdr:cNvPr id="4" name="Chart 3">
          <a:extLst>
            <a:ext uri="{FF2B5EF4-FFF2-40B4-BE49-F238E27FC236}">
              <a16:creationId xmlns:a16="http://schemas.microsoft.com/office/drawing/2014/main" id="{56DEEE6E-1777-4828-B29B-F8811707E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597924</xdr:colOff>
      <xdr:row>19</xdr:row>
      <xdr:rowOff>109363</xdr:rowOff>
    </xdr:from>
    <xdr:to>
      <xdr:col>11</xdr:col>
      <xdr:colOff>247650</xdr:colOff>
      <xdr:row>21</xdr:row>
      <xdr:rowOff>70001</xdr:rowOff>
    </xdr:to>
    <xdr:sp macro="" textlink="">
      <xdr:nvSpPr>
        <xdr:cNvPr id="5" name="TextBox 4">
          <a:extLst>
            <a:ext uri="{FF2B5EF4-FFF2-40B4-BE49-F238E27FC236}">
              <a16:creationId xmlns:a16="http://schemas.microsoft.com/office/drawing/2014/main" id="{54E024B1-50F7-4AE1-A30A-2D6C564F0E1B}"/>
            </a:ext>
          </a:extLst>
        </xdr:cNvPr>
        <xdr:cNvSpPr txBox="1"/>
      </xdr:nvSpPr>
      <xdr:spPr>
        <a:xfrm>
          <a:off x="4865124" y="3214513"/>
          <a:ext cx="2088126" cy="284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5. Interest Expense</a:t>
          </a:r>
        </a:p>
      </xdr:txBody>
    </xdr:sp>
    <xdr:clientData/>
  </xdr:twoCellAnchor>
  <xdr:twoCellAnchor>
    <xdr:from>
      <xdr:col>1</xdr:col>
      <xdr:colOff>531092</xdr:colOff>
      <xdr:row>19</xdr:row>
      <xdr:rowOff>87943</xdr:rowOff>
    </xdr:from>
    <xdr:to>
      <xdr:col>6</xdr:col>
      <xdr:colOff>491875</xdr:colOff>
      <xdr:row>35</xdr:row>
      <xdr:rowOff>38625</xdr:rowOff>
    </xdr:to>
    <xdr:graphicFrame macro="">
      <xdr:nvGraphicFramePr>
        <xdr:cNvPr id="6" name="Chart 5">
          <a:extLst>
            <a:ext uri="{FF2B5EF4-FFF2-40B4-BE49-F238E27FC236}">
              <a16:creationId xmlns:a16="http://schemas.microsoft.com/office/drawing/2014/main" id="{6442821B-43CC-47BE-9AA1-3AC63F29F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82204</xdr:colOff>
      <xdr:row>19</xdr:row>
      <xdr:rowOff>92393</xdr:rowOff>
    </xdr:from>
    <xdr:to>
      <xdr:col>7</xdr:col>
      <xdr:colOff>63499</xdr:colOff>
      <xdr:row>21</xdr:row>
      <xdr:rowOff>107258</xdr:rowOff>
    </xdr:to>
    <xdr:sp macro="" textlink="">
      <xdr:nvSpPr>
        <xdr:cNvPr id="7" name="TextBox 6">
          <a:extLst>
            <a:ext uri="{FF2B5EF4-FFF2-40B4-BE49-F238E27FC236}">
              <a16:creationId xmlns:a16="http://schemas.microsoft.com/office/drawing/2014/main" id="{94C5DEAA-E0B2-4A20-85CA-F57E07D8E70F}"/>
            </a:ext>
          </a:extLst>
        </xdr:cNvPr>
        <xdr:cNvSpPr txBox="1"/>
      </xdr:nvSpPr>
      <xdr:spPr>
        <a:xfrm>
          <a:off x="1911004" y="3197543"/>
          <a:ext cx="2419695" cy="338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4. Primary</a:t>
          </a:r>
          <a:r>
            <a:rPr lang="en-US" sz="1600" b="1" baseline="0">
              <a:latin typeface="Arial" panose="020B0604020202020204" pitchFamily="34" charset="0"/>
              <a:cs typeface="Arial" panose="020B0604020202020204" pitchFamily="34" charset="0"/>
            </a:rPr>
            <a:t> Expenditure</a:t>
          </a:r>
          <a:endParaRPr lang="en-US" sz="1600" b="1">
            <a:latin typeface="Arial" panose="020B0604020202020204" pitchFamily="34" charset="0"/>
            <a:cs typeface="Arial" panose="020B0604020202020204" pitchFamily="34" charset="0"/>
          </a:endParaRPr>
        </a:p>
      </xdr:txBody>
    </xdr:sp>
    <xdr:clientData/>
  </xdr:twoCellAnchor>
  <xdr:twoCellAnchor>
    <xdr:from>
      <xdr:col>11</xdr:col>
      <xdr:colOff>216929</xdr:colOff>
      <xdr:row>3</xdr:row>
      <xdr:rowOff>108447</xdr:rowOff>
    </xdr:from>
    <xdr:to>
      <xdr:col>16</xdr:col>
      <xdr:colOff>132509</xdr:colOff>
      <xdr:row>19</xdr:row>
      <xdr:rowOff>53230</xdr:rowOff>
    </xdr:to>
    <xdr:graphicFrame macro="">
      <xdr:nvGraphicFramePr>
        <xdr:cNvPr id="8" name="Chart 7">
          <a:extLst>
            <a:ext uri="{FF2B5EF4-FFF2-40B4-BE49-F238E27FC236}">
              <a16:creationId xmlns:a16="http://schemas.microsoft.com/office/drawing/2014/main" id="{C0038C9A-C99A-4595-8411-70593A635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431801</xdr:colOff>
      <xdr:row>3</xdr:row>
      <xdr:rowOff>19462</xdr:rowOff>
    </xdr:from>
    <xdr:to>
      <xdr:col>16</xdr:col>
      <xdr:colOff>61913</xdr:colOff>
      <xdr:row>5</xdr:row>
      <xdr:rowOff>76199</xdr:rowOff>
    </xdr:to>
    <xdr:sp macro="" textlink="">
      <xdr:nvSpPr>
        <xdr:cNvPr id="9" name="TextBox 8">
          <a:extLst>
            <a:ext uri="{FF2B5EF4-FFF2-40B4-BE49-F238E27FC236}">
              <a16:creationId xmlns:a16="http://schemas.microsoft.com/office/drawing/2014/main" id="{404B3F91-37D1-4196-BF89-BDB4B10E9AA9}"/>
            </a:ext>
          </a:extLst>
        </xdr:cNvPr>
        <xdr:cNvSpPr txBox="1"/>
      </xdr:nvSpPr>
      <xdr:spPr>
        <a:xfrm>
          <a:off x="7747001" y="533812"/>
          <a:ext cx="2068512" cy="3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3. Total Tax Revenue</a:t>
          </a:r>
        </a:p>
      </xdr:txBody>
    </xdr:sp>
    <xdr:clientData/>
  </xdr:twoCellAnchor>
  <xdr:twoCellAnchor>
    <xdr:from>
      <xdr:col>6</xdr:col>
      <xdr:colOff>350898</xdr:colOff>
      <xdr:row>3</xdr:row>
      <xdr:rowOff>72558</xdr:rowOff>
    </xdr:from>
    <xdr:to>
      <xdr:col>11</xdr:col>
      <xdr:colOff>323626</xdr:colOff>
      <xdr:row>19</xdr:row>
      <xdr:rowOff>16105</xdr:rowOff>
    </xdr:to>
    <xdr:graphicFrame macro="">
      <xdr:nvGraphicFramePr>
        <xdr:cNvPr id="10" name="Chart 9">
          <a:extLst>
            <a:ext uri="{FF2B5EF4-FFF2-40B4-BE49-F238E27FC236}">
              <a16:creationId xmlns:a16="http://schemas.microsoft.com/office/drawing/2014/main" id="{C1EF3048-0D50-49C3-BC3E-D72C5D8BF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26333</xdr:colOff>
      <xdr:row>2</xdr:row>
      <xdr:rowOff>159785</xdr:rowOff>
    </xdr:from>
    <xdr:to>
      <xdr:col>11</xdr:col>
      <xdr:colOff>206374</xdr:colOff>
      <xdr:row>5</xdr:row>
      <xdr:rowOff>19050</xdr:rowOff>
    </xdr:to>
    <xdr:sp macro="" textlink="">
      <xdr:nvSpPr>
        <xdr:cNvPr id="11" name="TextBox 10">
          <a:extLst>
            <a:ext uri="{FF2B5EF4-FFF2-40B4-BE49-F238E27FC236}">
              <a16:creationId xmlns:a16="http://schemas.microsoft.com/office/drawing/2014/main" id="{C5968B6D-30A5-4F70-8E59-4300266DAFC8}"/>
            </a:ext>
          </a:extLst>
        </xdr:cNvPr>
        <xdr:cNvSpPr txBox="1"/>
      </xdr:nvSpPr>
      <xdr:spPr>
        <a:xfrm>
          <a:off x="4903133" y="512210"/>
          <a:ext cx="2008841" cy="345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2. Overall Balance</a:t>
          </a:r>
        </a:p>
      </xdr:txBody>
    </xdr:sp>
    <xdr:clientData/>
  </xdr:twoCellAnchor>
  <xdr:twoCellAnchor>
    <xdr:from>
      <xdr:col>1</xdr:col>
      <xdr:colOff>550839</xdr:colOff>
      <xdr:row>3</xdr:row>
      <xdr:rowOff>83927</xdr:rowOff>
    </xdr:from>
    <xdr:to>
      <xdr:col>6</xdr:col>
      <xdr:colOff>474263</xdr:colOff>
      <xdr:row>19</xdr:row>
      <xdr:rowOff>18509</xdr:rowOff>
    </xdr:to>
    <xdr:graphicFrame macro="">
      <xdr:nvGraphicFramePr>
        <xdr:cNvPr id="12" name="Chart 11">
          <a:extLst>
            <a:ext uri="{FF2B5EF4-FFF2-40B4-BE49-F238E27FC236}">
              <a16:creationId xmlns:a16="http://schemas.microsoft.com/office/drawing/2014/main" id="{0464F47A-C648-4411-A00F-E6FA85C41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328613</xdr:colOff>
      <xdr:row>3</xdr:row>
      <xdr:rowOff>8482</xdr:rowOff>
    </xdr:from>
    <xdr:to>
      <xdr:col>7</xdr:col>
      <xdr:colOff>9525</xdr:colOff>
      <xdr:row>6</xdr:row>
      <xdr:rowOff>133350</xdr:rowOff>
    </xdr:to>
    <xdr:sp macro="" textlink="">
      <xdr:nvSpPr>
        <xdr:cNvPr id="13" name="TextBox 12">
          <a:extLst>
            <a:ext uri="{FF2B5EF4-FFF2-40B4-BE49-F238E27FC236}">
              <a16:creationId xmlns:a16="http://schemas.microsoft.com/office/drawing/2014/main" id="{CEAD3984-69D8-49C2-A34D-4A8CF235E1C3}"/>
            </a:ext>
          </a:extLst>
        </xdr:cNvPr>
        <xdr:cNvSpPr txBox="1"/>
      </xdr:nvSpPr>
      <xdr:spPr>
        <a:xfrm>
          <a:off x="2767013" y="522832"/>
          <a:ext cx="1509712" cy="610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panose="020B0604020202020204" pitchFamily="34" charset="0"/>
              <a:cs typeface="Arial" panose="020B0604020202020204" pitchFamily="34" charset="0"/>
            </a:rPr>
            <a:t>1. CPI</a:t>
          </a:r>
          <a:r>
            <a:rPr lang="en-US" sz="1600" b="1" baseline="0">
              <a:latin typeface="Arial" panose="020B0604020202020204" pitchFamily="34" charset="0"/>
              <a:cs typeface="Arial" panose="020B0604020202020204" pitchFamily="34" charset="0"/>
            </a:rPr>
            <a:t> Inflation </a:t>
          </a:r>
          <a:r>
            <a:rPr lang="en-US" sz="1600" b="0" baseline="0">
              <a:latin typeface="Arial" panose="020B0604020202020204" pitchFamily="34" charset="0"/>
              <a:cs typeface="Arial" panose="020B0604020202020204" pitchFamily="34" charset="0"/>
            </a:rPr>
            <a:t>(percent)</a:t>
          </a:r>
          <a:endParaRPr lang="en-US" sz="1600" b="0">
            <a:latin typeface="Arial" panose="020B0604020202020204" pitchFamily="34" charset="0"/>
            <a:cs typeface="Arial" panose="020B0604020202020204" pitchFamily="34" charset="0"/>
          </a:endParaRPr>
        </a:p>
      </xdr:txBody>
    </xdr:sp>
    <xdr:clientData/>
  </xdr:twoCellAnchor>
  <xdr:twoCellAnchor>
    <xdr:from>
      <xdr:col>1</xdr:col>
      <xdr:colOff>51953</xdr:colOff>
      <xdr:row>34</xdr:row>
      <xdr:rowOff>138545</xdr:rowOff>
    </xdr:from>
    <xdr:to>
      <xdr:col>16</xdr:col>
      <xdr:colOff>337705</xdr:colOff>
      <xdr:row>40</xdr:row>
      <xdr:rowOff>155863</xdr:rowOff>
    </xdr:to>
    <xdr:sp macro="" textlink="">
      <xdr:nvSpPr>
        <xdr:cNvPr id="14" name="TextBox 13">
          <a:extLst>
            <a:ext uri="{FF2B5EF4-FFF2-40B4-BE49-F238E27FC236}">
              <a16:creationId xmlns:a16="http://schemas.microsoft.com/office/drawing/2014/main" id="{8057E931-9676-4FFF-B143-7F116DCF804B}"/>
            </a:ext>
          </a:extLst>
        </xdr:cNvPr>
        <xdr:cNvSpPr txBox="1"/>
      </xdr:nvSpPr>
      <xdr:spPr>
        <a:xfrm>
          <a:off x="661553" y="5672570"/>
          <a:ext cx="9429752" cy="9888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 IMF staff estimates using data from Gruss and Kebhaj (2019); Ilzetzki, Reinhart, and Rogoff (2019); and IMF International Financial Statistics and World Economic Outlook databases.</a:t>
          </a:r>
        </a:p>
        <a:p>
          <a:r>
            <a:rPr lang="en-US" sz="1000">
              <a:solidFill>
                <a:schemeClr val="dk1"/>
              </a:solidFill>
              <a:effectLst/>
              <a:latin typeface="Arial" panose="020B0604020202020204" pitchFamily="34" charset="0"/>
              <a:ea typeface="+mn-ea"/>
              <a:cs typeface="Arial" panose="020B0604020202020204" pitchFamily="34" charset="0"/>
            </a:rPr>
            <a:t>Note: Regressions are estimated between the first quarter of 1999 and the fourth quarter of 2019 using instrumental variables and control for quarter indicator variables and country- and year-fixed effects (fixed effects two stage least squares). The panels plot the average impulse response and the 90 percent confidence bands (blue shaded area) with standard errors clustered at the country level. See Online Annex 2.2 for details. CPI = Consumer Price Index.</a:t>
          </a:r>
          <a:endParaRPr lang="en-US" sz="1000">
            <a:latin typeface="Arial" panose="020B0604020202020204" pitchFamily="34" charset="0"/>
            <a:cs typeface="Arial" panose="020B0604020202020204" pitchFamily="34" charset="0"/>
          </a:endParaRPr>
        </a:p>
      </xdr:txBody>
    </xdr:sp>
    <xdr:clientData/>
  </xdr:twoCellAnchor>
  <xdr:twoCellAnchor editAs="oneCell">
    <xdr:from>
      <xdr:col>18</xdr:col>
      <xdr:colOff>40824</xdr:colOff>
      <xdr:row>24</xdr:row>
      <xdr:rowOff>44194</xdr:rowOff>
    </xdr:from>
    <xdr:to>
      <xdr:col>27</xdr:col>
      <xdr:colOff>2722</xdr:colOff>
      <xdr:row>43</xdr:row>
      <xdr:rowOff>124299</xdr:rowOff>
    </xdr:to>
    <xdr:pic>
      <xdr:nvPicPr>
        <xdr:cNvPr id="15" name="Picture 14">
          <a:extLst>
            <a:ext uri="{FF2B5EF4-FFF2-40B4-BE49-F238E27FC236}">
              <a16:creationId xmlns:a16="http://schemas.microsoft.com/office/drawing/2014/main" id="{F101AE9F-B900-4B52-BC8C-982488507527}"/>
            </a:ext>
          </a:extLst>
        </xdr:cNvPr>
        <xdr:cNvPicPr>
          <a:picLocks noChangeAspect="1"/>
        </xdr:cNvPicPr>
      </xdr:nvPicPr>
      <xdr:blipFill>
        <a:blip xmlns:r="http://schemas.openxmlformats.org/officeDocument/2006/relationships" r:embed="rId7"/>
        <a:stretch>
          <a:fillRect/>
        </a:stretch>
      </xdr:blipFill>
      <xdr:spPr>
        <a:xfrm>
          <a:off x="11013624" y="3958969"/>
          <a:ext cx="5448298" cy="31566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268201</xdr:colOff>
      <xdr:row>14</xdr:row>
      <xdr:rowOff>235642</xdr:rowOff>
    </xdr:from>
    <xdr:to>
      <xdr:col>7</xdr:col>
      <xdr:colOff>450272</xdr:colOff>
      <xdr:row>26</xdr:row>
      <xdr:rowOff>312016</xdr:rowOff>
    </xdr:to>
    <xdr:graphicFrame macro="">
      <xdr:nvGraphicFramePr>
        <xdr:cNvPr id="2" name="Chart 1">
          <a:extLst>
            <a:ext uri="{FF2B5EF4-FFF2-40B4-BE49-F238E27FC236}">
              <a16:creationId xmlns:a16="http://schemas.microsoft.com/office/drawing/2014/main" id="{50617004-E13D-488F-B9CF-CF29E5A79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18536</xdr:rowOff>
    </xdr:from>
    <xdr:to>
      <xdr:col>15</xdr:col>
      <xdr:colOff>161636</xdr:colOff>
      <xdr:row>14</xdr:row>
      <xdr:rowOff>92585</xdr:rowOff>
    </xdr:to>
    <xdr:graphicFrame macro="">
      <xdr:nvGraphicFramePr>
        <xdr:cNvPr id="3" name="Chart 2">
          <a:extLst>
            <a:ext uri="{FF2B5EF4-FFF2-40B4-BE49-F238E27FC236}">
              <a16:creationId xmlns:a16="http://schemas.microsoft.com/office/drawing/2014/main" id="{630C6BED-A052-42DC-9742-010DCC9A6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207818</xdr:colOff>
      <xdr:row>4</xdr:row>
      <xdr:rowOff>128856</xdr:rowOff>
    </xdr:from>
    <xdr:to>
      <xdr:col>21</xdr:col>
      <xdr:colOff>854364</xdr:colOff>
      <xdr:row>14</xdr:row>
      <xdr:rowOff>317954</xdr:rowOff>
    </xdr:to>
    <xdr:graphicFrame macro="">
      <xdr:nvGraphicFramePr>
        <xdr:cNvPr id="4" name="Chart 3">
          <a:extLst>
            <a:ext uri="{FF2B5EF4-FFF2-40B4-BE49-F238E27FC236}">
              <a16:creationId xmlns:a16="http://schemas.microsoft.com/office/drawing/2014/main" id="{C79CF06D-AFBD-41DB-8898-209046142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253999</xdr:colOff>
      <xdr:row>5</xdr:row>
      <xdr:rowOff>61480</xdr:rowOff>
    </xdr:from>
    <xdr:to>
      <xdr:col>7</xdr:col>
      <xdr:colOff>369454</xdr:colOff>
      <xdr:row>14</xdr:row>
      <xdr:rowOff>92364</xdr:rowOff>
    </xdr:to>
    <xdr:graphicFrame macro="">
      <xdr:nvGraphicFramePr>
        <xdr:cNvPr id="5" name="Chart 4">
          <a:extLst>
            <a:ext uri="{FF2B5EF4-FFF2-40B4-BE49-F238E27FC236}">
              <a16:creationId xmlns:a16="http://schemas.microsoft.com/office/drawing/2014/main" id="{F431B84E-AEE7-4870-BDA0-51E5FBA1F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602175</xdr:colOff>
      <xdr:row>14</xdr:row>
      <xdr:rowOff>227854</xdr:rowOff>
    </xdr:from>
    <xdr:to>
      <xdr:col>21</xdr:col>
      <xdr:colOff>865909</xdr:colOff>
      <xdr:row>26</xdr:row>
      <xdr:rowOff>380996</xdr:rowOff>
    </xdr:to>
    <xdr:graphicFrame macro="">
      <xdr:nvGraphicFramePr>
        <xdr:cNvPr id="6" name="Chart 5">
          <a:extLst>
            <a:ext uri="{FF2B5EF4-FFF2-40B4-BE49-F238E27FC236}">
              <a16:creationId xmlns:a16="http://schemas.microsoft.com/office/drawing/2014/main" id="{61829B53-C831-4585-AF97-D1AE5EED2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487218</xdr:colOff>
      <xdr:row>14</xdr:row>
      <xdr:rowOff>284016</xdr:rowOff>
    </xdr:from>
    <xdr:to>
      <xdr:col>15</xdr:col>
      <xdr:colOff>34636</xdr:colOff>
      <xdr:row>26</xdr:row>
      <xdr:rowOff>372339</xdr:rowOff>
    </xdr:to>
    <xdr:graphicFrame macro="">
      <xdr:nvGraphicFramePr>
        <xdr:cNvPr id="7" name="Chart 6">
          <a:extLst>
            <a:ext uri="{FF2B5EF4-FFF2-40B4-BE49-F238E27FC236}">
              <a16:creationId xmlns:a16="http://schemas.microsoft.com/office/drawing/2014/main" id="{4F79AB7B-30B0-4A88-B388-E5B882C2C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115454</xdr:colOff>
      <xdr:row>4</xdr:row>
      <xdr:rowOff>30308</xdr:rowOff>
    </xdr:from>
    <xdr:to>
      <xdr:col>5</xdr:col>
      <xdr:colOff>173182</xdr:colOff>
      <xdr:row>5</xdr:row>
      <xdr:rowOff>147636</xdr:rowOff>
    </xdr:to>
    <xdr:sp macro="" textlink="">
      <xdr:nvSpPr>
        <xdr:cNvPr id="8" name="TextBox 7">
          <a:extLst>
            <a:ext uri="{FF2B5EF4-FFF2-40B4-BE49-F238E27FC236}">
              <a16:creationId xmlns:a16="http://schemas.microsoft.com/office/drawing/2014/main" id="{8939284F-C44E-4052-89C7-00FCDBF7E0A5}"/>
            </a:ext>
          </a:extLst>
        </xdr:cNvPr>
        <xdr:cNvSpPr txBox="1"/>
      </xdr:nvSpPr>
      <xdr:spPr>
        <a:xfrm>
          <a:off x="1963304" y="697058"/>
          <a:ext cx="1257878" cy="3268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Arial" panose="020B0604020202020204" pitchFamily="34" charset="0"/>
              <a:cs typeface="Arial" panose="020B0604020202020204" pitchFamily="34" charset="0"/>
            </a:rPr>
            <a:t>1. Kenya</a:t>
          </a:r>
        </a:p>
        <a:p>
          <a:endParaRPr lang="en-US" sz="1100"/>
        </a:p>
      </xdr:txBody>
    </xdr:sp>
    <xdr:clientData/>
  </xdr:twoCellAnchor>
  <xdr:twoCellAnchor>
    <xdr:from>
      <xdr:col>11</xdr:col>
      <xdr:colOff>34636</xdr:colOff>
      <xdr:row>4</xdr:row>
      <xdr:rowOff>72738</xdr:rowOff>
    </xdr:from>
    <xdr:to>
      <xdr:col>13</xdr:col>
      <xdr:colOff>219362</xdr:colOff>
      <xdr:row>5</xdr:row>
      <xdr:rowOff>238125</xdr:rowOff>
    </xdr:to>
    <xdr:sp macro="" textlink="">
      <xdr:nvSpPr>
        <xdr:cNvPr id="9" name="TextBox 8">
          <a:extLst>
            <a:ext uri="{FF2B5EF4-FFF2-40B4-BE49-F238E27FC236}">
              <a16:creationId xmlns:a16="http://schemas.microsoft.com/office/drawing/2014/main" id="{C96E2BD1-40B4-4CA7-A305-5EAE10C6F312}"/>
            </a:ext>
          </a:extLst>
        </xdr:cNvPr>
        <xdr:cNvSpPr txBox="1"/>
      </xdr:nvSpPr>
      <xdr:spPr>
        <a:xfrm>
          <a:off x="6778336" y="739488"/>
          <a:ext cx="1384876" cy="374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2. Mexico</a:t>
          </a:r>
        </a:p>
      </xdr:txBody>
    </xdr:sp>
    <xdr:clientData/>
  </xdr:twoCellAnchor>
  <xdr:twoCellAnchor>
    <xdr:from>
      <xdr:col>18</xdr:col>
      <xdr:colOff>173181</xdr:colOff>
      <xdr:row>4</xdr:row>
      <xdr:rowOff>118921</xdr:rowOff>
    </xdr:from>
    <xdr:to>
      <xdr:col>20</xdr:col>
      <xdr:colOff>311727</xdr:colOff>
      <xdr:row>5</xdr:row>
      <xdr:rowOff>257466</xdr:rowOff>
    </xdr:to>
    <xdr:sp macro="" textlink="">
      <xdr:nvSpPr>
        <xdr:cNvPr id="10" name="TextBox 9">
          <a:extLst>
            <a:ext uri="{FF2B5EF4-FFF2-40B4-BE49-F238E27FC236}">
              <a16:creationId xmlns:a16="http://schemas.microsoft.com/office/drawing/2014/main" id="{57BEDA6C-6141-4CC1-9348-AE512EF307CC}"/>
            </a:ext>
          </a:extLst>
        </xdr:cNvPr>
        <xdr:cNvSpPr txBox="1"/>
      </xdr:nvSpPr>
      <xdr:spPr>
        <a:xfrm>
          <a:off x="11117406" y="785671"/>
          <a:ext cx="1338696" cy="348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3.Senegal</a:t>
          </a:r>
        </a:p>
      </xdr:txBody>
    </xdr:sp>
    <xdr:clientData/>
  </xdr:twoCellAnchor>
  <xdr:twoCellAnchor>
    <xdr:from>
      <xdr:col>3</xdr:col>
      <xdr:colOff>115454</xdr:colOff>
      <xdr:row>14</xdr:row>
      <xdr:rowOff>288637</xdr:rowOff>
    </xdr:from>
    <xdr:to>
      <xdr:col>5</xdr:col>
      <xdr:colOff>508000</xdr:colOff>
      <xdr:row>16</xdr:row>
      <xdr:rowOff>57728</xdr:rowOff>
    </xdr:to>
    <xdr:sp macro="" textlink="">
      <xdr:nvSpPr>
        <xdr:cNvPr id="11" name="TextBox 10">
          <a:extLst>
            <a:ext uri="{FF2B5EF4-FFF2-40B4-BE49-F238E27FC236}">
              <a16:creationId xmlns:a16="http://schemas.microsoft.com/office/drawing/2014/main" id="{F313A9FE-AE7A-4450-89FE-CFD73821A49B}"/>
            </a:ext>
          </a:extLst>
        </xdr:cNvPr>
        <xdr:cNvSpPr txBox="1"/>
      </xdr:nvSpPr>
      <xdr:spPr>
        <a:xfrm>
          <a:off x="1963304" y="4212937"/>
          <a:ext cx="1592696" cy="2929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4. Colombia</a:t>
          </a:r>
        </a:p>
      </xdr:txBody>
    </xdr:sp>
    <xdr:clientData/>
  </xdr:twoCellAnchor>
  <xdr:twoCellAnchor>
    <xdr:from>
      <xdr:col>1</xdr:col>
      <xdr:colOff>46182</xdr:colOff>
      <xdr:row>27</xdr:row>
      <xdr:rowOff>0</xdr:rowOff>
    </xdr:from>
    <xdr:to>
      <xdr:col>21</xdr:col>
      <xdr:colOff>347663</xdr:colOff>
      <xdr:row>30</xdr:row>
      <xdr:rowOff>71437</xdr:rowOff>
    </xdr:to>
    <xdr:sp macro="" textlink="">
      <xdr:nvSpPr>
        <xdr:cNvPr id="12" name="TextBox 11">
          <a:extLst>
            <a:ext uri="{FF2B5EF4-FFF2-40B4-BE49-F238E27FC236}">
              <a16:creationId xmlns:a16="http://schemas.microsoft.com/office/drawing/2014/main" id="{324F4C49-F8AD-486D-87D8-7F7B62E05E1B}"/>
            </a:ext>
          </a:extLst>
        </xdr:cNvPr>
        <xdr:cNvSpPr txBox="1"/>
      </xdr:nvSpPr>
      <xdr:spPr>
        <a:xfrm>
          <a:off x="646257" y="7315200"/>
          <a:ext cx="12445856" cy="614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baseline="0">
              <a:solidFill>
                <a:schemeClr val="dk1"/>
              </a:solidFill>
              <a:latin typeface="Arial" panose="020B0604020202020204" pitchFamily="34" charset="0"/>
              <a:ea typeface="+mn-ea"/>
              <a:cs typeface="Arial" panose="020B0604020202020204" pitchFamily="34" charset="0"/>
            </a:rPr>
            <a:t>Source: IMF staff calculations.</a:t>
          </a:r>
        </a:p>
        <a:p>
          <a:r>
            <a:rPr lang="en-US" sz="1000" b="0" i="0" u="none" strike="noStrike" baseline="0">
              <a:solidFill>
                <a:schemeClr val="dk1"/>
              </a:solidFill>
              <a:latin typeface="Arial" panose="020B0604020202020204" pitchFamily="34" charset="0"/>
              <a:ea typeface="+mn-ea"/>
              <a:cs typeface="Arial" panose="020B0604020202020204" pitchFamily="34" charset="0"/>
            </a:rPr>
            <a:t>Note: The figure covers the period from the second quarter of 2021 to the second quarter of 2022. In </a:t>
          </a:r>
          <a:r>
            <a:rPr lang="en-US" sz="1000" b="0" i="1" u="none" strike="noStrike" baseline="0">
              <a:solidFill>
                <a:schemeClr val="dk1"/>
              </a:solidFill>
              <a:latin typeface="Arial" panose="020B0604020202020204" pitchFamily="34" charset="0"/>
              <a:ea typeface="+mn-ea"/>
              <a:cs typeface="Arial" panose="020B0604020202020204" pitchFamily="34" charset="0"/>
            </a:rPr>
            <a:t>Colombia </a:t>
          </a:r>
          <a:r>
            <a:rPr lang="en-US" sz="1000" b="0" i="0" u="none" strike="noStrike" baseline="0">
              <a:solidFill>
                <a:schemeClr val="dk1"/>
              </a:solidFill>
              <a:latin typeface="Arial" panose="020B0604020202020204" pitchFamily="34" charset="0"/>
              <a:ea typeface="+mn-ea"/>
              <a:cs typeface="Arial" panose="020B0604020202020204" pitchFamily="34" charset="0"/>
            </a:rPr>
            <a:t>and </a:t>
          </a:r>
          <a:r>
            <a:rPr lang="en-US" sz="1000" b="0" i="1" u="none" strike="noStrike" baseline="0">
              <a:solidFill>
                <a:schemeClr val="dk1"/>
              </a:solidFill>
              <a:latin typeface="Arial" panose="020B0604020202020204" pitchFamily="34" charset="0"/>
              <a:ea typeface="+mn-ea"/>
              <a:cs typeface="Arial" panose="020B0604020202020204" pitchFamily="34" charset="0"/>
            </a:rPr>
            <a:t>Mexico</a:t>
          </a:r>
          <a:r>
            <a:rPr lang="en-US" sz="1000" b="0" i="0" u="none" strike="noStrike" baseline="0">
              <a:solidFill>
                <a:schemeClr val="dk1"/>
              </a:solidFill>
              <a:latin typeface="Arial" panose="020B0604020202020204" pitchFamily="34" charset="0"/>
              <a:ea typeface="+mn-ea"/>
              <a:cs typeface="Arial" panose="020B0604020202020204" pitchFamily="34" charset="0"/>
            </a:rPr>
            <a:t>, and in </a:t>
          </a:r>
          <a:r>
            <a:rPr lang="en-US" sz="1000" b="0" i="1" u="none" strike="noStrike" baseline="0">
              <a:solidFill>
                <a:schemeClr val="dk1"/>
              </a:solidFill>
              <a:latin typeface="Arial" panose="020B0604020202020204" pitchFamily="34" charset="0"/>
              <a:ea typeface="+mn-ea"/>
              <a:cs typeface="Arial" panose="020B0604020202020204" pitchFamily="34" charset="0"/>
            </a:rPr>
            <a:t>Finland </a:t>
          </a:r>
          <a:r>
            <a:rPr lang="en-US" sz="1000" b="0" i="0" u="none" strike="noStrike" baseline="0">
              <a:solidFill>
                <a:schemeClr val="dk1"/>
              </a:solidFill>
              <a:latin typeface="Arial" panose="020B0604020202020204" pitchFamily="34" charset="0"/>
              <a:ea typeface="+mn-ea"/>
              <a:cs typeface="Arial" panose="020B0604020202020204" pitchFamily="34" charset="0"/>
            </a:rPr>
            <a:t>and </a:t>
          </a:r>
          <a:r>
            <a:rPr lang="en-US" sz="1000" b="0" i="1" u="none" strike="noStrike" baseline="0">
              <a:solidFill>
                <a:schemeClr val="dk1"/>
              </a:solidFill>
              <a:latin typeface="Arial" panose="020B0604020202020204" pitchFamily="34" charset="0"/>
              <a:ea typeface="+mn-ea"/>
              <a:cs typeface="Arial" panose="020B0604020202020204" pitchFamily="34" charset="0"/>
            </a:rPr>
            <a:t>France</a:t>
          </a:r>
          <a:r>
            <a:rPr lang="en-US" sz="1000" b="0" i="0" u="none" strike="noStrike" baseline="0">
              <a:solidFill>
                <a:schemeClr val="dk1"/>
              </a:solidFill>
              <a:latin typeface="Arial" panose="020B0604020202020204" pitchFamily="34" charset="0"/>
              <a:ea typeface="+mn-ea"/>
              <a:cs typeface="Arial" panose="020B0604020202020204" pitchFamily="34" charset="0"/>
            </a:rPr>
            <a:t>, quintiles are built using per capita income. For </a:t>
          </a:r>
          <a:r>
            <a:rPr lang="en-US" sz="1000" b="0" i="1" u="none" strike="noStrike" baseline="0">
              <a:solidFill>
                <a:schemeClr val="dk1"/>
              </a:solidFill>
              <a:latin typeface="Arial" panose="020B0604020202020204" pitchFamily="34" charset="0"/>
              <a:ea typeface="+mn-ea"/>
              <a:cs typeface="Arial" panose="020B0604020202020204" pitchFamily="34" charset="0"/>
            </a:rPr>
            <a:t>Kenya </a:t>
          </a:r>
          <a:r>
            <a:rPr lang="en-US" sz="1000" b="0" i="0" u="none" strike="noStrike" baseline="0">
              <a:solidFill>
                <a:schemeClr val="dk1"/>
              </a:solidFill>
              <a:latin typeface="Arial" panose="020B0604020202020204" pitchFamily="34" charset="0"/>
              <a:ea typeface="+mn-ea"/>
              <a:cs typeface="Arial" panose="020B0604020202020204" pitchFamily="34" charset="0"/>
            </a:rPr>
            <a:t>and </a:t>
          </a:r>
          <a:r>
            <a:rPr lang="en-US" sz="1000" b="0" i="1" u="none" strike="noStrike" baseline="0">
              <a:solidFill>
                <a:schemeClr val="dk1"/>
              </a:solidFill>
              <a:latin typeface="Arial" panose="020B0604020202020204" pitchFamily="34" charset="0"/>
              <a:ea typeface="+mn-ea"/>
              <a:cs typeface="Arial" panose="020B0604020202020204" pitchFamily="34" charset="0"/>
            </a:rPr>
            <a:t>Senegal</a:t>
          </a:r>
          <a:r>
            <a:rPr lang="en-US" sz="1000" b="0" i="0" u="none" strike="noStrike" baseline="0">
              <a:solidFill>
                <a:schemeClr val="dk1"/>
              </a:solidFill>
              <a:latin typeface="Arial" panose="020B0604020202020204" pitchFamily="34" charset="0"/>
              <a:ea typeface="+mn-ea"/>
              <a:cs typeface="Arial" panose="020B0604020202020204" pitchFamily="34" charset="0"/>
            </a:rPr>
            <a:t>, the quintiles use per capita consumption (as a proxy for their income). See Online Annex 2.3 for details.</a:t>
          </a:r>
          <a:endParaRPr lang="en-US" sz="1000">
            <a:latin typeface="Arial" panose="020B0604020202020204" pitchFamily="34" charset="0"/>
            <a:cs typeface="Arial" panose="020B0604020202020204" pitchFamily="34" charset="0"/>
          </a:endParaRPr>
        </a:p>
      </xdr:txBody>
    </xdr:sp>
    <xdr:clientData/>
  </xdr:twoCellAnchor>
  <xdr:twoCellAnchor>
    <xdr:from>
      <xdr:col>1</xdr:col>
      <xdr:colOff>195260</xdr:colOff>
      <xdr:row>3</xdr:row>
      <xdr:rowOff>40865</xdr:rowOff>
    </xdr:from>
    <xdr:to>
      <xdr:col>21</xdr:col>
      <xdr:colOff>104567</xdr:colOff>
      <xdr:row>4</xdr:row>
      <xdr:rowOff>95748</xdr:rowOff>
    </xdr:to>
    <xdr:grpSp>
      <xdr:nvGrpSpPr>
        <xdr:cNvPr id="13" name="Group 12">
          <a:extLst>
            <a:ext uri="{FF2B5EF4-FFF2-40B4-BE49-F238E27FC236}">
              <a16:creationId xmlns:a16="http://schemas.microsoft.com/office/drawing/2014/main" id="{850A14F3-5534-414E-A3CF-DEF669465447}"/>
            </a:ext>
          </a:extLst>
        </xdr:cNvPr>
        <xdr:cNvGrpSpPr/>
      </xdr:nvGrpSpPr>
      <xdr:grpSpPr>
        <a:xfrm>
          <a:off x="795335" y="526640"/>
          <a:ext cx="12053682" cy="235858"/>
          <a:chOff x="845201" y="528321"/>
          <a:chExt cx="13020190" cy="234178"/>
        </a:xfrm>
      </xdr:grpSpPr>
      <xdr:pic>
        <xdr:nvPicPr>
          <xdr:cNvPr id="14" name="Picture 13">
            <a:extLst>
              <a:ext uri="{FF2B5EF4-FFF2-40B4-BE49-F238E27FC236}">
                <a16:creationId xmlns:a16="http://schemas.microsoft.com/office/drawing/2014/main" id="{D3ED67CD-0DE9-FF42-B115-3C13F235D606}"/>
              </a:ext>
            </a:extLst>
          </xdr:cNvPr>
          <xdr:cNvPicPr>
            <a:picLocks noChangeAspect="1"/>
          </xdr:cNvPicPr>
        </xdr:nvPicPr>
        <xdr:blipFill rotWithShape="1">
          <a:blip xmlns:r="http://schemas.openxmlformats.org/officeDocument/2006/relationships" r:embed="rId7"/>
          <a:srcRect r="26307" b="84402"/>
          <a:stretch/>
        </xdr:blipFill>
        <xdr:spPr>
          <a:xfrm>
            <a:off x="845201" y="538087"/>
            <a:ext cx="2647902" cy="179469"/>
          </a:xfrm>
          <a:prstGeom prst="rect">
            <a:avLst/>
          </a:prstGeom>
        </xdr:spPr>
      </xdr:pic>
      <xdr:pic>
        <xdr:nvPicPr>
          <xdr:cNvPr id="15" name="Picture 14">
            <a:extLst>
              <a:ext uri="{FF2B5EF4-FFF2-40B4-BE49-F238E27FC236}">
                <a16:creationId xmlns:a16="http://schemas.microsoft.com/office/drawing/2014/main" id="{3D7B07E0-404A-7544-6BC1-9BBC65923DA1}"/>
              </a:ext>
            </a:extLst>
          </xdr:cNvPr>
          <xdr:cNvPicPr>
            <a:picLocks noChangeAspect="1"/>
          </xdr:cNvPicPr>
        </xdr:nvPicPr>
        <xdr:blipFill rotWithShape="1">
          <a:blip xmlns:r="http://schemas.openxmlformats.org/officeDocument/2006/relationships" r:embed="rId7"/>
          <a:srcRect l="-1" t="20802" r="65201" b="59950"/>
          <a:stretch/>
        </xdr:blipFill>
        <xdr:spPr>
          <a:xfrm>
            <a:off x="3737945" y="540745"/>
            <a:ext cx="1248648" cy="221754"/>
          </a:xfrm>
          <a:prstGeom prst="rect">
            <a:avLst/>
          </a:prstGeom>
        </xdr:spPr>
      </xdr:pic>
      <xdr:pic>
        <xdr:nvPicPr>
          <xdr:cNvPr id="16" name="Picture 15">
            <a:extLst>
              <a:ext uri="{FF2B5EF4-FFF2-40B4-BE49-F238E27FC236}">
                <a16:creationId xmlns:a16="http://schemas.microsoft.com/office/drawing/2014/main" id="{F992780D-9A8E-B48D-7FB0-C0113C6E3FD8}"/>
              </a:ext>
            </a:extLst>
          </xdr:cNvPr>
          <xdr:cNvPicPr>
            <a:picLocks noChangeAspect="1"/>
          </xdr:cNvPicPr>
        </xdr:nvPicPr>
        <xdr:blipFill rotWithShape="1">
          <a:blip xmlns:r="http://schemas.openxmlformats.org/officeDocument/2006/relationships" r:embed="rId7"/>
          <a:srcRect t="61906" r="20601" b="21652"/>
          <a:stretch/>
        </xdr:blipFill>
        <xdr:spPr>
          <a:xfrm>
            <a:off x="9223127" y="536605"/>
            <a:ext cx="2846704" cy="189232"/>
          </a:xfrm>
          <a:prstGeom prst="rect">
            <a:avLst/>
          </a:prstGeom>
        </xdr:spPr>
      </xdr:pic>
      <xdr:pic>
        <xdr:nvPicPr>
          <xdr:cNvPr id="17" name="Picture 16">
            <a:extLst>
              <a:ext uri="{FF2B5EF4-FFF2-40B4-BE49-F238E27FC236}">
                <a16:creationId xmlns:a16="http://schemas.microsoft.com/office/drawing/2014/main" id="{8997DEFE-ADE0-1077-9D90-D73C62451AD4}"/>
              </a:ext>
            </a:extLst>
          </xdr:cNvPr>
          <xdr:cNvPicPr>
            <a:picLocks noChangeAspect="1"/>
          </xdr:cNvPicPr>
        </xdr:nvPicPr>
        <xdr:blipFill rotWithShape="1">
          <a:blip xmlns:r="http://schemas.openxmlformats.org/officeDocument/2006/relationships" r:embed="rId7"/>
          <a:srcRect t="81635" r="56001" b="2638"/>
          <a:stretch/>
        </xdr:blipFill>
        <xdr:spPr>
          <a:xfrm>
            <a:off x="12286511" y="528321"/>
            <a:ext cx="1578880" cy="180951"/>
          </a:xfrm>
          <a:prstGeom prst="rect">
            <a:avLst/>
          </a:prstGeom>
        </xdr:spPr>
      </xdr:pic>
      <xdr:pic>
        <xdr:nvPicPr>
          <xdr:cNvPr id="18" name="Picture 17">
            <a:extLst>
              <a:ext uri="{FF2B5EF4-FFF2-40B4-BE49-F238E27FC236}">
                <a16:creationId xmlns:a16="http://schemas.microsoft.com/office/drawing/2014/main" id="{C20882D6-AE9E-3C9A-2B4B-71960A1EC462}"/>
              </a:ext>
            </a:extLst>
          </xdr:cNvPr>
          <xdr:cNvPicPr>
            <a:picLocks noChangeAspect="1"/>
          </xdr:cNvPicPr>
        </xdr:nvPicPr>
        <xdr:blipFill rotWithShape="1">
          <a:blip xmlns:r="http://schemas.openxmlformats.org/officeDocument/2006/relationships" r:embed="rId7"/>
          <a:srcRect t="41104" r="-3302" b="42812"/>
          <a:stretch/>
        </xdr:blipFill>
        <xdr:spPr>
          <a:xfrm>
            <a:off x="5277365" y="536605"/>
            <a:ext cx="3697230" cy="185092"/>
          </a:xfrm>
          <a:prstGeom prst="rect">
            <a:avLst/>
          </a:prstGeom>
        </xdr:spPr>
      </xdr:pic>
    </xdr:grpSp>
    <xdr:clientData/>
  </xdr:twoCellAnchor>
  <xdr:twoCellAnchor editAs="oneCell">
    <xdr:from>
      <xdr:col>32</xdr:col>
      <xdr:colOff>59532</xdr:colOff>
      <xdr:row>4</xdr:row>
      <xdr:rowOff>35718</xdr:rowOff>
    </xdr:from>
    <xdr:to>
      <xdr:col>50</xdr:col>
      <xdr:colOff>34705</xdr:colOff>
      <xdr:row>22</xdr:row>
      <xdr:rowOff>107155</xdr:rowOff>
    </xdr:to>
    <xdr:pic>
      <xdr:nvPicPr>
        <xdr:cNvPr id="19" name="Picture 18">
          <a:extLst>
            <a:ext uri="{FF2B5EF4-FFF2-40B4-BE49-F238E27FC236}">
              <a16:creationId xmlns:a16="http://schemas.microsoft.com/office/drawing/2014/main" id="{EEFA72B5-0792-411C-BA83-D7A38DBFD3B4}"/>
            </a:ext>
          </a:extLst>
        </xdr:cNvPr>
        <xdr:cNvPicPr>
          <a:picLocks noChangeAspect="1"/>
        </xdr:cNvPicPr>
      </xdr:nvPicPr>
      <xdr:blipFill>
        <a:blip xmlns:r="http://schemas.openxmlformats.org/officeDocument/2006/relationships" r:embed="rId8"/>
        <a:stretch>
          <a:fillRect/>
        </a:stretch>
      </xdr:blipFill>
      <xdr:spPr>
        <a:xfrm>
          <a:off x="22090857" y="702468"/>
          <a:ext cx="10776523" cy="5376862"/>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0.43361</cdr:x>
      <cdr:y>0.01226</cdr:y>
    </cdr:from>
    <cdr:to>
      <cdr:x>0.73519</cdr:x>
      <cdr:y>0.11742</cdr:y>
    </cdr:to>
    <cdr:sp macro="" textlink="">
      <cdr:nvSpPr>
        <cdr:cNvPr id="2" name="TextBox 1">
          <a:extLst xmlns:a="http://schemas.openxmlformats.org/drawingml/2006/main">
            <a:ext uri="{FF2B5EF4-FFF2-40B4-BE49-F238E27FC236}">
              <a16:creationId xmlns:a16="http://schemas.microsoft.com/office/drawing/2014/main" id="{40D88892-A853-6E5F-29E6-4972103A69BB}"/>
            </a:ext>
          </a:extLst>
        </cdr:cNvPr>
        <cdr:cNvSpPr txBox="1"/>
      </cdr:nvSpPr>
      <cdr:spPr>
        <a:xfrm xmlns:a="http://schemas.openxmlformats.org/drawingml/2006/main">
          <a:off x="2041733" y="37691"/>
          <a:ext cx="1420091" cy="323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Arial" panose="020B0604020202020204" pitchFamily="34" charset="0"/>
              <a:cs typeface="Arial" panose="020B0604020202020204" pitchFamily="34" charset="0"/>
            </a:rPr>
            <a:t>6. France</a:t>
          </a:r>
        </a:p>
      </cdr:txBody>
    </cdr:sp>
  </cdr:relSizeAnchor>
</c:userShapes>
</file>

<file path=xl/drawings/drawing38.xml><?xml version="1.0" encoding="utf-8"?>
<c:userShapes xmlns:c="http://schemas.openxmlformats.org/drawingml/2006/chart">
  <cdr:relSizeAnchor xmlns:cdr="http://schemas.openxmlformats.org/drawingml/2006/chartDrawing">
    <cdr:from>
      <cdr:x>0.32645</cdr:x>
      <cdr:y>0</cdr:y>
    </cdr:from>
    <cdr:to>
      <cdr:x>0.73943</cdr:x>
      <cdr:y>0.14445</cdr:y>
    </cdr:to>
    <cdr:sp macro="" textlink="">
      <cdr:nvSpPr>
        <cdr:cNvPr id="2" name="TextBox 1">
          <a:extLst xmlns:a="http://schemas.openxmlformats.org/drawingml/2006/main">
            <a:ext uri="{FF2B5EF4-FFF2-40B4-BE49-F238E27FC236}">
              <a16:creationId xmlns:a16="http://schemas.microsoft.com/office/drawing/2014/main" id="{69BDDDE6-288A-F3BD-E3D2-3BE8C197C041}"/>
            </a:ext>
          </a:extLst>
        </cdr:cNvPr>
        <cdr:cNvSpPr txBox="1"/>
      </cdr:nvSpPr>
      <cdr:spPr>
        <a:xfrm xmlns:a="http://schemas.openxmlformats.org/drawingml/2006/main">
          <a:off x="1533236" y="0"/>
          <a:ext cx="1939637" cy="434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0.4469</cdr:x>
      <cdr:y>0.00335</cdr:y>
    </cdr:from>
    <cdr:to>
      <cdr:x>0.76401</cdr:x>
      <cdr:y>0.1031</cdr:y>
    </cdr:to>
    <cdr:sp macro="" textlink="">
      <cdr:nvSpPr>
        <cdr:cNvPr id="3" name="TextBox 2">
          <a:extLst xmlns:a="http://schemas.openxmlformats.org/drawingml/2006/main">
            <a:ext uri="{FF2B5EF4-FFF2-40B4-BE49-F238E27FC236}">
              <a16:creationId xmlns:a16="http://schemas.microsoft.com/office/drawing/2014/main" id="{06ABFF04-3008-6969-70F0-3CDBB6261C40}"/>
            </a:ext>
          </a:extLst>
        </cdr:cNvPr>
        <cdr:cNvSpPr txBox="1"/>
      </cdr:nvSpPr>
      <cdr:spPr>
        <a:xfrm xmlns:a="http://schemas.openxmlformats.org/drawingml/2006/main">
          <a:off x="2150548" y="10053"/>
          <a:ext cx="1525979" cy="29902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600">
              <a:latin typeface="Arial" panose="020B0604020202020204" pitchFamily="34" charset="0"/>
              <a:cs typeface="Arial" panose="020B0604020202020204" pitchFamily="34" charset="0"/>
            </a:rPr>
            <a:t>5.</a:t>
          </a:r>
          <a:r>
            <a:rPr lang="en-US" sz="1600" baseline="0">
              <a:latin typeface="Arial" panose="020B0604020202020204" pitchFamily="34" charset="0"/>
              <a:cs typeface="Arial" panose="020B0604020202020204" pitchFamily="34" charset="0"/>
            </a:rPr>
            <a:t> </a:t>
          </a:r>
          <a:r>
            <a:rPr lang="en-US" sz="1600">
              <a:latin typeface="Arial" panose="020B0604020202020204" pitchFamily="34" charset="0"/>
              <a:cs typeface="Arial" panose="020B0604020202020204" pitchFamily="34" charset="0"/>
            </a:rPr>
            <a:t>Finland</a:t>
          </a:r>
        </a:p>
      </cdr:txBody>
    </cdr:sp>
  </cdr:relSizeAnchor>
</c:userShapes>
</file>

<file path=xl/drawings/drawing39.xml><?xml version="1.0" encoding="utf-8"?>
<xdr:wsDr xmlns:xdr="http://schemas.openxmlformats.org/drawingml/2006/spreadsheetDrawing" xmlns:a="http://schemas.openxmlformats.org/drawingml/2006/main">
  <xdr:absoluteAnchor>
    <xdr:pos x="814294" y="410882"/>
    <xdr:ext cx="2976655" cy="2560917"/>
    <xdr:graphicFrame macro="">
      <xdr:nvGraphicFramePr>
        <xdr:cNvPr id="2" name="Chart 41">
          <a:extLst>
            <a:ext uri="{FF2B5EF4-FFF2-40B4-BE49-F238E27FC236}">
              <a16:creationId xmlns:a16="http://schemas.microsoft.com/office/drawing/2014/main" id="{C8E29FDD-A643-4C9A-804E-56DB716055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24940" y="395941"/>
    <xdr:ext cx="3107765" cy="2532529"/>
    <xdr:graphicFrame macro="">
      <xdr:nvGraphicFramePr>
        <xdr:cNvPr id="3" name="Chart 51">
          <a:extLst>
            <a:ext uri="{FF2B5EF4-FFF2-40B4-BE49-F238E27FC236}">
              <a16:creationId xmlns:a16="http://schemas.microsoft.com/office/drawing/2014/main" id="{1FF9C243-1E9F-4053-BBFC-EDF72E3880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925236" y="246529"/>
    <xdr:ext cx="3160058" cy="2696882"/>
    <xdr:graphicFrame macro="">
      <xdr:nvGraphicFramePr>
        <xdr:cNvPr id="4" name="Chart 31">
          <a:extLst>
            <a:ext uri="{FF2B5EF4-FFF2-40B4-BE49-F238E27FC236}">
              <a16:creationId xmlns:a16="http://schemas.microsoft.com/office/drawing/2014/main" id="{58A9F18C-B2B2-40D8-A472-810B606C74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791881" y="2965825"/>
    <xdr:ext cx="3040529" cy="2950882"/>
    <xdr:graphicFrame macro="">
      <xdr:nvGraphicFramePr>
        <xdr:cNvPr id="5" name="Chart 61">
          <a:extLst>
            <a:ext uri="{FF2B5EF4-FFF2-40B4-BE49-F238E27FC236}">
              <a16:creationId xmlns:a16="http://schemas.microsoft.com/office/drawing/2014/main" id="{2A18FCEA-27FD-493D-9F63-9B854EEC89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3854824" y="3100293"/>
    <xdr:ext cx="3212351" cy="2779059"/>
    <xdr:graphicFrame macro="">
      <xdr:nvGraphicFramePr>
        <xdr:cNvPr id="6" name="Chart 5">
          <a:extLst>
            <a:ext uri="{FF2B5EF4-FFF2-40B4-BE49-F238E27FC236}">
              <a16:creationId xmlns:a16="http://schemas.microsoft.com/office/drawing/2014/main" id="{64ACC3C2-5132-492D-B6D9-25FDA2885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6872939" y="3102429"/>
    <xdr:ext cx="3257579" cy="2745922"/>
    <xdr:graphicFrame macro="">
      <xdr:nvGraphicFramePr>
        <xdr:cNvPr id="7" name="Chart 71">
          <a:extLst>
            <a:ext uri="{FF2B5EF4-FFF2-40B4-BE49-F238E27FC236}">
              <a16:creationId xmlns:a16="http://schemas.microsoft.com/office/drawing/2014/main" id="{F7E503B6-0E36-43E9-8724-B15EB2BF58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3</xdr:col>
      <xdr:colOff>85725</xdr:colOff>
      <xdr:row>2</xdr:row>
      <xdr:rowOff>85165</xdr:rowOff>
    </xdr:from>
    <xdr:to>
      <xdr:col>5</xdr:col>
      <xdr:colOff>140731</xdr:colOff>
      <xdr:row>4</xdr:row>
      <xdr:rowOff>30964</xdr:rowOff>
    </xdr:to>
    <xdr:sp macro="" textlink="">
      <xdr:nvSpPr>
        <xdr:cNvPr id="8" name="TextBox 7">
          <a:extLst>
            <a:ext uri="{FF2B5EF4-FFF2-40B4-BE49-F238E27FC236}">
              <a16:creationId xmlns:a16="http://schemas.microsoft.com/office/drawing/2014/main" id="{0E13ED72-3519-4D7B-9C3D-A04108C2A2D2}"/>
            </a:ext>
          </a:extLst>
        </xdr:cNvPr>
        <xdr:cNvSpPr txBox="1"/>
      </xdr:nvSpPr>
      <xdr:spPr>
        <a:xfrm>
          <a:off x="1914525" y="456640"/>
          <a:ext cx="1274206" cy="269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Arial" panose="020B0604020202020204" pitchFamily="34" charset="0"/>
              <a:cs typeface="Arial" panose="020B0604020202020204" pitchFamily="34" charset="0"/>
            </a:rPr>
            <a:t>1. Kenya</a:t>
          </a:r>
        </a:p>
        <a:p>
          <a:endParaRPr lang="en-US" sz="1100"/>
        </a:p>
      </xdr:txBody>
    </xdr:sp>
    <xdr:clientData/>
  </xdr:twoCellAnchor>
  <xdr:twoCellAnchor>
    <xdr:from>
      <xdr:col>7</xdr:col>
      <xdr:colOff>483199</xdr:colOff>
      <xdr:row>2</xdr:row>
      <xdr:rowOff>73727</xdr:rowOff>
    </xdr:from>
    <xdr:to>
      <xdr:col>10</xdr:col>
      <xdr:colOff>17504</xdr:colOff>
      <xdr:row>4</xdr:row>
      <xdr:rowOff>20556</xdr:rowOff>
    </xdr:to>
    <xdr:sp macro="" textlink="">
      <xdr:nvSpPr>
        <xdr:cNvPr id="9" name="TextBox 8">
          <a:extLst>
            <a:ext uri="{FF2B5EF4-FFF2-40B4-BE49-F238E27FC236}">
              <a16:creationId xmlns:a16="http://schemas.microsoft.com/office/drawing/2014/main" id="{D8087EC0-EE6C-4512-B8A3-1F2B2B3CF279}"/>
            </a:ext>
          </a:extLst>
        </xdr:cNvPr>
        <xdr:cNvSpPr txBox="1"/>
      </xdr:nvSpPr>
      <xdr:spPr>
        <a:xfrm>
          <a:off x="4750399" y="445202"/>
          <a:ext cx="1363105" cy="270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2. Mexico</a:t>
          </a:r>
        </a:p>
      </xdr:txBody>
    </xdr:sp>
    <xdr:clientData/>
  </xdr:twoCellAnchor>
  <xdr:twoCellAnchor>
    <xdr:from>
      <xdr:col>12</xdr:col>
      <xdr:colOff>397905</xdr:colOff>
      <xdr:row>2</xdr:row>
      <xdr:rowOff>48472</xdr:rowOff>
    </xdr:from>
    <xdr:to>
      <xdr:col>14</xdr:col>
      <xdr:colOff>533730</xdr:colOff>
      <xdr:row>4</xdr:row>
      <xdr:rowOff>76119</xdr:rowOff>
    </xdr:to>
    <xdr:sp macro="" textlink="">
      <xdr:nvSpPr>
        <xdr:cNvPr id="10" name="TextBox 9">
          <a:extLst>
            <a:ext uri="{FF2B5EF4-FFF2-40B4-BE49-F238E27FC236}">
              <a16:creationId xmlns:a16="http://schemas.microsoft.com/office/drawing/2014/main" id="{47E54D11-03A9-4D8A-B201-1970DF4AD57C}"/>
            </a:ext>
          </a:extLst>
        </xdr:cNvPr>
        <xdr:cNvSpPr txBox="1"/>
      </xdr:nvSpPr>
      <xdr:spPr>
        <a:xfrm>
          <a:off x="7713105" y="419947"/>
          <a:ext cx="1355025" cy="351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3.Senegal</a:t>
          </a:r>
        </a:p>
      </xdr:txBody>
    </xdr:sp>
    <xdr:clientData/>
  </xdr:twoCellAnchor>
  <xdr:twoCellAnchor>
    <xdr:from>
      <xdr:col>2</xdr:col>
      <xdr:colOff>579185</xdr:colOff>
      <xdr:row>19</xdr:row>
      <xdr:rowOff>13403</xdr:rowOff>
    </xdr:from>
    <xdr:to>
      <xdr:col>5</xdr:col>
      <xdr:colOff>322669</xdr:colOff>
      <xdr:row>20</xdr:row>
      <xdr:rowOff>141081</xdr:rowOff>
    </xdr:to>
    <xdr:sp macro="" textlink="">
      <xdr:nvSpPr>
        <xdr:cNvPr id="11" name="TextBox 10">
          <a:extLst>
            <a:ext uri="{FF2B5EF4-FFF2-40B4-BE49-F238E27FC236}">
              <a16:creationId xmlns:a16="http://schemas.microsoft.com/office/drawing/2014/main" id="{43548760-8CC4-448D-B091-BD9EA362B75F}"/>
            </a:ext>
          </a:extLst>
        </xdr:cNvPr>
        <xdr:cNvSpPr txBox="1"/>
      </xdr:nvSpPr>
      <xdr:spPr>
        <a:xfrm>
          <a:off x="1798385" y="3137603"/>
          <a:ext cx="1572284" cy="2896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4. Colombia</a:t>
          </a:r>
        </a:p>
      </xdr:txBody>
    </xdr:sp>
    <xdr:clientData/>
  </xdr:twoCellAnchor>
  <xdr:twoCellAnchor>
    <xdr:from>
      <xdr:col>7</xdr:col>
      <xdr:colOff>507066</xdr:colOff>
      <xdr:row>19</xdr:row>
      <xdr:rowOff>43338</xdr:rowOff>
    </xdr:from>
    <xdr:to>
      <xdr:col>10</xdr:col>
      <xdr:colOff>250551</xdr:colOff>
      <xdr:row>21</xdr:row>
      <xdr:rowOff>8531</xdr:rowOff>
    </xdr:to>
    <xdr:sp macro="" textlink="">
      <xdr:nvSpPr>
        <xdr:cNvPr id="12" name="TextBox 11">
          <a:extLst>
            <a:ext uri="{FF2B5EF4-FFF2-40B4-BE49-F238E27FC236}">
              <a16:creationId xmlns:a16="http://schemas.microsoft.com/office/drawing/2014/main" id="{8B8AB2BC-9C87-478B-8064-38393D4E482D}"/>
            </a:ext>
          </a:extLst>
        </xdr:cNvPr>
        <xdr:cNvSpPr txBox="1"/>
      </xdr:nvSpPr>
      <xdr:spPr>
        <a:xfrm>
          <a:off x="4774266" y="3167538"/>
          <a:ext cx="1572285" cy="2890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5. Finland</a:t>
          </a:r>
        </a:p>
      </xdr:txBody>
    </xdr:sp>
    <xdr:clientData/>
  </xdr:twoCellAnchor>
  <xdr:twoCellAnchor>
    <xdr:from>
      <xdr:col>12</xdr:col>
      <xdr:colOff>375001</xdr:colOff>
      <xdr:row>19</xdr:row>
      <xdr:rowOff>5602</xdr:rowOff>
    </xdr:from>
    <xdr:to>
      <xdr:col>15</xdr:col>
      <xdr:colOff>118484</xdr:colOff>
      <xdr:row>20</xdr:row>
      <xdr:rowOff>131762</xdr:rowOff>
    </xdr:to>
    <xdr:sp macro="" textlink="">
      <xdr:nvSpPr>
        <xdr:cNvPr id="13" name="TextBox 12">
          <a:extLst>
            <a:ext uri="{FF2B5EF4-FFF2-40B4-BE49-F238E27FC236}">
              <a16:creationId xmlns:a16="http://schemas.microsoft.com/office/drawing/2014/main" id="{013BF254-562B-4B89-8119-55DB1E0F5CA5}"/>
            </a:ext>
          </a:extLst>
        </xdr:cNvPr>
        <xdr:cNvSpPr txBox="1"/>
      </xdr:nvSpPr>
      <xdr:spPr>
        <a:xfrm>
          <a:off x="7690201" y="3129802"/>
          <a:ext cx="1572283" cy="288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6. France</a:t>
          </a:r>
        </a:p>
      </xdr:txBody>
    </xdr:sp>
    <xdr:clientData/>
  </xdr:twoCellAnchor>
  <xdr:twoCellAnchor editAs="oneCell">
    <xdr:from>
      <xdr:col>23</xdr:col>
      <xdr:colOff>47626</xdr:colOff>
      <xdr:row>1</xdr:row>
      <xdr:rowOff>61233</xdr:rowOff>
    </xdr:from>
    <xdr:to>
      <xdr:col>33</xdr:col>
      <xdr:colOff>469447</xdr:colOff>
      <xdr:row>25</xdr:row>
      <xdr:rowOff>66490</xdr:rowOff>
    </xdr:to>
    <xdr:pic>
      <xdr:nvPicPr>
        <xdr:cNvPr id="14" name="Picture 13">
          <a:extLst>
            <a:ext uri="{FF2B5EF4-FFF2-40B4-BE49-F238E27FC236}">
              <a16:creationId xmlns:a16="http://schemas.microsoft.com/office/drawing/2014/main" id="{BA490B58-FAB7-4852-BC7D-E02C4349FDA5}"/>
            </a:ext>
          </a:extLst>
        </xdr:cNvPr>
        <xdr:cNvPicPr>
          <a:picLocks noChangeAspect="1"/>
        </xdr:cNvPicPr>
      </xdr:nvPicPr>
      <xdr:blipFill>
        <a:blip xmlns:r="http://schemas.openxmlformats.org/officeDocument/2006/relationships" r:embed="rId7"/>
        <a:stretch>
          <a:fillRect/>
        </a:stretch>
      </xdr:blipFill>
      <xdr:spPr>
        <a:xfrm>
          <a:off x="14449426" y="251733"/>
          <a:ext cx="6517821" cy="39105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61</xdr:row>
      <xdr:rowOff>0</xdr:rowOff>
    </xdr:from>
    <xdr:to>
      <xdr:col>17</xdr:col>
      <xdr:colOff>9525</xdr:colOff>
      <xdr:row>64</xdr:row>
      <xdr:rowOff>155458</xdr:rowOff>
    </xdr:to>
    <xdr:sp macro="" textlink="">
      <xdr:nvSpPr>
        <xdr:cNvPr id="2" name="Text Box 1">
          <a:extLst>
            <a:ext uri="{FF2B5EF4-FFF2-40B4-BE49-F238E27FC236}">
              <a16:creationId xmlns:a16="http://schemas.microsoft.com/office/drawing/2014/main" id="{5D52A052-515F-42E5-844F-9EDE3AA46643}"/>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 name="Text Box 1">
          <a:extLst>
            <a:ext uri="{FF2B5EF4-FFF2-40B4-BE49-F238E27FC236}">
              <a16:creationId xmlns:a16="http://schemas.microsoft.com/office/drawing/2014/main" id="{C4AE2AF0-B905-4CB7-A0C6-F3C995062F74}"/>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4" name="Text Box 1">
          <a:extLst>
            <a:ext uri="{FF2B5EF4-FFF2-40B4-BE49-F238E27FC236}">
              <a16:creationId xmlns:a16="http://schemas.microsoft.com/office/drawing/2014/main" id="{DC5EAC7D-C760-4ABE-A725-2B2E9332D52B}"/>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5" name="Text Box 1">
          <a:extLst>
            <a:ext uri="{FF2B5EF4-FFF2-40B4-BE49-F238E27FC236}">
              <a16:creationId xmlns:a16="http://schemas.microsoft.com/office/drawing/2014/main" id="{82E6EE1A-F34D-4788-90B2-A4EA0D754E3C}"/>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6" name="Text Box 1">
          <a:extLst>
            <a:ext uri="{FF2B5EF4-FFF2-40B4-BE49-F238E27FC236}">
              <a16:creationId xmlns:a16="http://schemas.microsoft.com/office/drawing/2014/main" id="{22923E65-9ACB-46B5-82D5-8A5F143292D9}"/>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7" name="Text Box 1">
          <a:extLst>
            <a:ext uri="{FF2B5EF4-FFF2-40B4-BE49-F238E27FC236}">
              <a16:creationId xmlns:a16="http://schemas.microsoft.com/office/drawing/2014/main" id="{E2F08049-DCC0-45B9-994D-32E98EC2BF2D}"/>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8" name="Text Box 1">
          <a:extLst>
            <a:ext uri="{FF2B5EF4-FFF2-40B4-BE49-F238E27FC236}">
              <a16:creationId xmlns:a16="http://schemas.microsoft.com/office/drawing/2014/main" id="{B1B31E0F-0F5F-4329-9D66-571C35957274}"/>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9" name="Text Box 1">
          <a:extLst>
            <a:ext uri="{FF2B5EF4-FFF2-40B4-BE49-F238E27FC236}">
              <a16:creationId xmlns:a16="http://schemas.microsoft.com/office/drawing/2014/main" id="{3F3DF6E0-7427-45CE-BC46-7BADB9B51965}"/>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279962</xdr:rowOff>
    </xdr:to>
    <xdr:sp macro="" textlink="">
      <xdr:nvSpPr>
        <xdr:cNvPr id="10" name="Text Box 1">
          <a:extLst>
            <a:ext uri="{FF2B5EF4-FFF2-40B4-BE49-F238E27FC236}">
              <a16:creationId xmlns:a16="http://schemas.microsoft.com/office/drawing/2014/main" id="{FE746DA1-7B38-4EFF-BC84-A4AF9534E019}"/>
            </a:ext>
          </a:extLst>
        </xdr:cNvPr>
        <xdr:cNvSpPr txBox="1">
          <a:spLocks noChangeArrowheads="1"/>
        </xdr:cNvSpPr>
      </xdr:nvSpPr>
      <xdr:spPr bwMode="auto">
        <a:xfrm>
          <a:off x="8801100" y="8267700"/>
          <a:ext cx="9525" cy="508562"/>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279962</xdr:rowOff>
    </xdr:to>
    <xdr:sp macro="" textlink="">
      <xdr:nvSpPr>
        <xdr:cNvPr id="11" name="Text Box 1">
          <a:extLst>
            <a:ext uri="{FF2B5EF4-FFF2-40B4-BE49-F238E27FC236}">
              <a16:creationId xmlns:a16="http://schemas.microsoft.com/office/drawing/2014/main" id="{91061729-0F75-4374-A708-D74B5977AF08}"/>
            </a:ext>
          </a:extLst>
        </xdr:cNvPr>
        <xdr:cNvSpPr txBox="1">
          <a:spLocks noChangeArrowheads="1"/>
        </xdr:cNvSpPr>
      </xdr:nvSpPr>
      <xdr:spPr bwMode="auto">
        <a:xfrm>
          <a:off x="8801100" y="8267700"/>
          <a:ext cx="9525" cy="508562"/>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63</xdr:row>
      <xdr:rowOff>135048</xdr:rowOff>
    </xdr:to>
    <xdr:sp macro="" textlink="">
      <xdr:nvSpPr>
        <xdr:cNvPr id="12" name="Text Box 1">
          <a:extLst>
            <a:ext uri="{FF2B5EF4-FFF2-40B4-BE49-F238E27FC236}">
              <a16:creationId xmlns:a16="http://schemas.microsoft.com/office/drawing/2014/main" id="{A469C26E-E773-4020-ADE6-541DC86B98C9}"/>
            </a:ext>
          </a:extLst>
        </xdr:cNvPr>
        <xdr:cNvSpPr txBox="1">
          <a:spLocks noChangeArrowheads="1"/>
        </xdr:cNvSpPr>
      </xdr:nvSpPr>
      <xdr:spPr bwMode="auto">
        <a:xfrm>
          <a:off x="8801100" y="8267700"/>
          <a:ext cx="9525" cy="192198"/>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13" name="Text Box 1">
          <a:extLst>
            <a:ext uri="{FF2B5EF4-FFF2-40B4-BE49-F238E27FC236}">
              <a16:creationId xmlns:a16="http://schemas.microsoft.com/office/drawing/2014/main" id="{5A6D56FA-6C52-4110-9EAC-12F745996B3A}"/>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14" name="Text Box 1">
          <a:extLst>
            <a:ext uri="{FF2B5EF4-FFF2-40B4-BE49-F238E27FC236}">
              <a16:creationId xmlns:a16="http://schemas.microsoft.com/office/drawing/2014/main" id="{5BDB4F84-3064-401B-BF4C-C20085893D25}"/>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15" name="Text Box 1">
          <a:extLst>
            <a:ext uri="{FF2B5EF4-FFF2-40B4-BE49-F238E27FC236}">
              <a16:creationId xmlns:a16="http://schemas.microsoft.com/office/drawing/2014/main" id="{FB842018-13D6-4121-A5A8-60CD564BF390}"/>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16" name="Text Box 1">
          <a:extLst>
            <a:ext uri="{FF2B5EF4-FFF2-40B4-BE49-F238E27FC236}">
              <a16:creationId xmlns:a16="http://schemas.microsoft.com/office/drawing/2014/main" id="{1116FD21-4FED-4027-B611-89936444EC97}"/>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17" name="Text Box 1">
          <a:extLst>
            <a:ext uri="{FF2B5EF4-FFF2-40B4-BE49-F238E27FC236}">
              <a16:creationId xmlns:a16="http://schemas.microsoft.com/office/drawing/2014/main" id="{F3E67CCD-75BA-42E4-B3DD-D4304BE7CF1C}"/>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18" name="Text Box 1">
          <a:extLst>
            <a:ext uri="{FF2B5EF4-FFF2-40B4-BE49-F238E27FC236}">
              <a16:creationId xmlns:a16="http://schemas.microsoft.com/office/drawing/2014/main" id="{5DA67029-0255-4EE2-926E-782F977ECFA9}"/>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19" name="Text Box 1">
          <a:extLst>
            <a:ext uri="{FF2B5EF4-FFF2-40B4-BE49-F238E27FC236}">
              <a16:creationId xmlns:a16="http://schemas.microsoft.com/office/drawing/2014/main" id="{09877E58-6870-4E08-B9AD-9057C7428420}"/>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0" name="Text Box 1">
          <a:extLst>
            <a:ext uri="{FF2B5EF4-FFF2-40B4-BE49-F238E27FC236}">
              <a16:creationId xmlns:a16="http://schemas.microsoft.com/office/drawing/2014/main" id="{74E8D6D5-332E-48AC-8EBE-D9B7098D8737}"/>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1" name="Text Box 1">
          <a:extLst>
            <a:ext uri="{FF2B5EF4-FFF2-40B4-BE49-F238E27FC236}">
              <a16:creationId xmlns:a16="http://schemas.microsoft.com/office/drawing/2014/main" id="{39BCBC6D-D6B4-4C9F-84F4-3E08E33A3FB5}"/>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2" name="Text Box 1">
          <a:extLst>
            <a:ext uri="{FF2B5EF4-FFF2-40B4-BE49-F238E27FC236}">
              <a16:creationId xmlns:a16="http://schemas.microsoft.com/office/drawing/2014/main" id="{8EC09C99-D1E5-4074-83C5-541E25750562}"/>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3" name="Text Box 1">
          <a:extLst>
            <a:ext uri="{FF2B5EF4-FFF2-40B4-BE49-F238E27FC236}">
              <a16:creationId xmlns:a16="http://schemas.microsoft.com/office/drawing/2014/main" id="{7C3B9A26-2600-43E5-B71E-9A6DCC7F8968}"/>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4" name="Text Box 1">
          <a:extLst>
            <a:ext uri="{FF2B5EF4-FFF2-40B4-BE49-F238E27FC236}">
              <a16:creationId xmlns:a16="http://schemas.microsoft.com/office/drawing/2014/main" id="{A3DCA57E-7E90-44B8-883B-E5FA764698EC}"/>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5" name="Text Box 1">
          <a:extLst>
            <a:ext uri="{FF2B5EF4-FFF2-40B4-BE49-F238E27FC236}">
              <a16:creationId xmlns:a16="http://schemas.microsoft.com/office/drawing/2014/main" id="{AF6C73CA-02DE-42B0-A2C4-09EBF9049060}"/>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6" name="Text Box 1">
          <a:extLst>
            <a:ext uri="{FF2B5EF4-FFF2-40B4-BE49-F238E27FC236}">
              <a16:creationId xmlns:a16="http://schemas.microsoft.com/office/drawing/2014/main" id="{A4712018-46AA-4F84-AAAA-2C821FB30D86}"/>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7" name="Text Box 1">
          <a:extLst>
            <a:ext uri="{FF2B5EF4-FFF2-40B4-BE49-F238E27FC236}">
              <a16:creationId xmlns:a16="http://schemas.microsoft.com/office/drawing/2014/main" id="{95270729-9BF1-4FC1-A1DD-0952D24B9EF0}"/>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8" name="Text Box 1">
          <a:extLst>
            <a:ext uri="{FF2B5EF4-FFF2-40B4-BE49-F238E27FC236}">
              <a16:creationId xmlns:a16="http://schemas.microsoft.com/office/drawing/2014/main" id="{55D416DD-1F12-438A-8978-D6E29984F406}"/>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29" name="Text Box 1">
          <a:extLst>
            <a:ext uri="{FF2B5EF4-FFF2-40B4-BE49-F238E27FC236}">
              <a16:creationId xmlns:a16="http://schemas.microsoft.com/office/drawing/2014/main" id="{B5C99ADD-D3B1-4877-BCAF-136546B1A630}"/>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0" name="Text Box 1">
          <a:extLst>
            <a:ext uri="{FF2B5EF4-FFF2-40B4-BE49-F238E27FC236}">
              <a16:creationId xmlns:a16="http://schemas.microsoft.com/office/drawing/2014/main" id="{4F16C0D6-D9C2-4306-B2F7-9E037D840A47}"/>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1" name="Text Box 1">
          <a:extLst>
            <a:ext uri="{FF2B5EF4-FFF2-40B4-BE49-F238E27FC236}">
              <a16:creationId xmlns:a16="http://schemas.microsoft.com/office/drawing/2014/main" id="{D88810C4-43AD-4A71-8C87-81C30C76DF61}"/>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2" name="Text Box 1">
          <a:extLst>
            <a:ext uri="{FF2B5EF4-FFF2-40B4-BE49-F238E27FC236}">
              <a16:creationId xmlns:a16="http://schemas.microsoft.com/office/drawing/2014/main" id="{E453485A-6CB8-49DE-9035-CC82FD071F41}"/>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279962</xdr:rowOff>
    </xdr:to>
    <xdr:sp macro="" textlink="">
      <xdr:nvSpPr>
        <xdr:cNvPr id="33" name="Text Box 1">
          <a:extLst>
            <a:ext uri="{FF2B5EF4-FFF2-40B4-BE49-F238E27FC236}">
              <a16:creationId xmlns:a16="http://schemas.microsoft.com/office/drawing/2014/main" id="{903D98B0-4C63-4CD7-975E-8F3AA8C18AC7}"/>
            </a:ext>
          </a:extLst>
        </xdr:cNvPr>
        <xdr:cNvSpPr txBox="1">
          <a:spLocks noChangeArrowheads="1"/>
        </xdr:cNvSpPr>
      </xdr:nvSpPr>
      <xdr:spPr bwMode="auto">
        <a:xfrm>
          <a:off x="8801100" y="8267700"/>
          <a:ext cx="9525" cy="508562"/>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4" name="Text Box 1">
          <a:extLst>
            <a:ext uri="{FF2B5EF4-FFF2-40B4-BE49-F238E27FC236}">
              <a16:creationId xmlns:a16="http://schemas.microsoft.com/office/drawing/2014/main" id="{4EA6A9C5-4BC3-44C7-B5C9-852EE90E388C}"/>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5" name="Text Box 1">
          <a:extLst>
            <a:ext uri="{FF2B5EF4-FFF2-40B4-BE49-F238E27FC236}">
              <a16:creationId xmlns:a16="http://schemas.microsoft.com/office/drawing/2014/main" id="{B00A332C-F618-4651-9BEA-55A8EDB33ACE}"/>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6" name="Text Box 1">
          <a:extLst>
            <a:ext uri="{FF2B5EF4-FFF2-40B4-BE49-F238E27FC236}">
              <a16:creationId xmlns:a16="http://schemas.microsoft.com/office/drawing/2014/main" id="{CA533A67-8D26-4A0D-8F39-F0A8D12D8FED}"/>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7" name="Text Box 1">
          <a:extLst>
            <a:ext uri="{FF2B5EF4-FFF2-40B4-BE49-F238E27FC236}">
              <a16:creationId xmlns:a16="http://schemas.microsoft.com/office/drawing/2014/main" id="{F3E97982-B452-4723-BA9C-E579BBC9486E}"/>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8" name="Text Box 1">
          <a:extLst>
            <a:ext uri="{FF2B5EF4-FFF2-40B4-BE49-F238E27FC236}">
              <a16:creationId xmlns:a16="http://schemas.microsoft.com/office/drawing/2014/main" id="{3C0BC3F4-8C30-4284-ABEB-CA246390F0B1}"/>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39" name="Text Box 1">
          <a:extLst>
            <a:ext uri="{FF2B5EF4-FFF2-40B4-BE49-F238E27FC236}">
              <a16:creationId xmlns:a16="http://schemas.microsoft.com/office/drawing/2014/main" id="{D7CC714E-3ACF-4005-975B-01CD45FBD495}"/>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61</xdr:row>
      <xdr:rowOff>0</xdr:rowOff>
    </xdr:from>
    <xdr:to>
      <xdr:col>17</xdr:col>
      <xdr:colOff>9525</xdr:colOff>
      <xdr:row>64</xdr:row>
      <xdr:rowOff>155458</xdr:rowOff>
    </xdr:to>
    <xdr:sp macro="" textlink="">
      <xdr:nvSpPr>
        <xdr:cNvPr id="40" name="Text Box 1">
          <a:extLst>
            <a:ext uri="{FF2B5EF4-FFF2-40B4-BE49-F238E27FC236}">
              <a16:creationId xmlns:a16="http://schemas.microsoft.com/office/drawing/2014/main" id="{EE83035B-2882-4454-80EE-4F19F06D8F98}"/>
            </a:ext>
          </a:extLst>
        </xdr:cNvPr>
        <xdr:cNvSpPr txBox="1">
          <a:spLocks noChangeArrowheads="1"/>
        </xdr:cNvSpPr>
      </xdr:nvSpPr>
      <xdr:spPr bwMode="auto">
        <a:xfrm>
          <a:off x="8801100" y="8267700"/>
          <a:ext cx="9525" cy="384058"/>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41" name="Text Box 1">
          <a:extLst>
            <a:ext uri="{FF2B5EF4-FFF2-40B4-BE49-F238E27FC236}">
              <a16:creationId xmlns:a16="http://schemas.microsoft.com/office/drawing/2014/main" id="{CB24750C-1100-4E7E-A61B-8AD452A8C243}"/>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42" name="Text Box 1">
          <a:extLst>
            <a:ext uri="{FF2B5EF4-FFF2-40B4-BE49-F238E27FC236}">
              <a16:creationId xmlns:a16="http://schemas.microsoft.com/office/drawing/2014/main" id="{9EC815DE-9CFA-442D-ACC5-FA40A6E1412F}"/>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43" name="Text Box 1">
          <a:extLst>
            <a:ext uri="{FF2B5EF4-FFF2-40B4-BE49-F238E27FC236}">
              <a16:creationId xmlns:a16="http://schemas.microsoft.com/office/drawing/2014/main" id="{FD3EB51A-61A0-48C8-A17C-CF62AB3C94D4}"/>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209552</xdr:rowOff>
    </xdr:to>
    <xdr:sp macro="" textlink="">
      <xdr:nvSpPr>
        <xdr:cNvPr id="44" name="Text Box 1">
          <a:extLst>
            <a:ext uri="{FF2B5EF4-FFF2-40B4-BE49-F238E27FC236}">
              <a16:creationId xmlns:a16="http://schemas.microsoft.com/office/drawing/2014/main" id="{66FF830F-C8A1-4763-9996-E706120F2421}"/>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209552</xdr:rowOff>
    </xdr:to>
    <xdr:sp macro="" textlink="">
      <xdr:nvSpPr>
        <xdr:cNvPr id="45" name="Text Box 1">
          <a:extLst>
            <a:ext uri="{FF2B5EF4-FFF2-40B4-BE49-F238E27FC236}">
              <a16:creationId xmlns:a16="http://schemas.microsoft.com/office/drawing/2014/main" id="{E0194780-42C0-45D4-B1AC-5C2F3972685C}"/>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209552</xdr:rowOff>
    </xdr:to>
    <xdr:sp macro="" textlink="">
      <xdr:nvSpPr>
        <xdr:cNvPr id="46" name="Text Box 1">
          <a:extLst>
            <a:ext uri="{FF2B5EF4-FFF2-40B4-BE49-F238E27FC236}">
              <a16:creationId xmlns:a16="http://schemas.microsoft.com/office/drawing/2014/main" id="{886ABF0A-5D56-4C9B-B365-B721DD812DF1}"/>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47" name="Text Box 1">
          <a:extLst>
            <a:ext uri="{FF2B5EF4-FFF2-40B4-BE49-F238E27FC236}">
              <a16:creationId xmlns:a16="http://schemas.microsoft.com/office/drawing/2014/main" id="{CF088554-9BEC-496E-9153-DA422EA76C43}"/>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48" name="Text Box 1">
          <a:extLst>
            <a:ext uri="{FF2B5EF4-FFF2-40B4-BE49-F238E27FC236}">
              <a16:creationId xmlns:a16="http://schemas.microsoft.com/office/drawing/2014/main" id="{D3CEFB53-2AF6-4323-8522-B323B79D4014}"/>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205824</xdr:rowOff>
    </xdr:to>
    <xdr:sp macro="" textlink="">
      <xdr:nvSpPr>
        <xdr:cNvPr id="49" name="Text Box 1">
          <a:extLst>
            <a:ext uri="{FF2B5EF4-FFF2-40B4-BE49-F238E27FC236}">
              <a16:creationId xmlns:a16="http://schemas.microsoft.com/office/drawing/2014/main" id="{89FB24E7-B004-4FC5-8317-EB2740D51561}"/>
            </a:ext>
          </a:extLst>
        </xdr:cNvPr>
        <xdr:cNvSpPr txBox="1">
          <a:spLocks noChangeArrowheads="1"/>
        </xdr:cNvSpPr>
      </xdr:nvSpPr>
      <xdr:spPr bwMode="auto">
        <a:xfrm>
          <a:off x="8801100" y="9534525"/>
          <a:ext cx="9525" cy="205824"/>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50" name="Text Box 1">
          <a:extLst>
            <a:ext uri="{FF2B5EF4-FFF2-40B4-BE49-F238E27FC236}">
              <a16:creationId xmlns:a16="http://schemas.microsoft.com/office/drawing/2014/main" id="{1E742569-E9A8-42A7-8328-0020C19E442D}"/>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51" name="Text Box 1">
          <a:extLst>
            <a:ext uri="{FF2B5EF4-FFF2-40B4-BE49-F238E27FC236}">
              <a16:creationId xmlns:a16="http://schemas.microsoft.com/office/drawing/2014/main" id="{9015E74E-A277-4E98-9834-3BFAD99C0704}"/>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236470</xdr:rowOff>
    </xdr:to>
    <xdr:sp macro="" textlink="">
      <xdr:nvSpPr>
        <xdr:cNvPr id="52" name="Text Box 1">
          <a:extLst>
            <a:ext uri="{FF2B5EF4-FFF2-40B4-BE49-F238E27FC236}">
              <a16:creationId xmlns:a16="http://schemas.microsoft.com/office/drawing/2014/main" id="{C2748517-89D2-4417-B5CF-92C92A4626AE}"/>
            </a:ext>
          </a:extLst>
        </xdr:cNvPr>
        <xdr:cNvSpPr txBox="1">
          <a:spLocks noChangeArrowheads="1"/>
        </xdr:cNvSpPr>
      </xdr:nvSpPr>
      <xdr:spPr bwMode="auto">
        <a:xfrm>
          <a:off x="8801100" y="9534525"/>
          <a:ext cx="9525" cy="236470"/>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205823</xdr:rowOff>
    </xdr:to>
    <xdr:sp macro="" textlink="">
      <xdr:nvSpPr>
        <xdr:cNvPr id="53" name="Text Box 1">
          <a:extLst>
            <a:ext uri="{FF2B5EF4-FFF2-40B4-BE49-F238E27FC236}">
              <a16:creationId xmlns:a16="http://schemas.microsoft.com/office/drawing/2014/main" id="{2F97FC4A-03F2-44A2-A24E-1C8F7F98FF08}"/>
            </a:ext>
          </a:extLst>
        </xdr:cNvPr>
        <xdr:cNvSpPr txBox="1">
          <a:spLocks noChangeArrowheads="1"/>
        </xdr:cNvSpPr>
      </xdr:nvSpPr>
      <xdr:spPr bwMode="auto">
        <a:xfrm>
          <a:off x="8801100" y="9534525"/>
          <a:ext cx="9525" cy="205823"/>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205823</xdr:rowOff>
    </xdr:to>
    <xdr:sp macro="" textlink="">
      <xdr:nvSpPr>
        <xdr:cNvPr id="54" name="Text Box 1">
          <a:extLst>
            <a:ext uri="{FF2B5EF4-FFF2-40B4-BE49-F238E27FC236}">
              <a16:creationId xmlns:a16="http://schemas.microsoft.com/office/drawing/2014/main" id="{A456007C-4ADB-47F2-800E-12A9D8445E2D}"/>
            </a:ext>
          </a:extLst>
        </xdr:cNvPr>
        <xdr:cNvSpPr txBox="1">
          <a:spLocks noChangeArrowheads="1"/>
        </xdr:cNvSpPr>
      </xdr:nvSpPr>
      <xdr:spPr bwMode="auto">
        <a:xfrm>
          <a:off x="8801100" y="9534525"/>
          <a:ext cx="9525" cy="205823"/>
        </a:xfrm>
        <a:prstGeom prst="rect">
          <a:avLst/>
        </a:prstGeom>
        <a:noFill/>
        <a:ln w="9525">
          <a:noFill/>
          <a:miter lim="800000"/>
          <a:headEnd/>
          <a:tailEnd/>
        </a:ln>
      </xdr:spPr>
    </xdr:sp>
    <xdr:clientData/>
  </xdr:twoCellAnchor>
  <xdr:twoCellAnchor editAs="oneCell">
    <xdr:from>
      <xdr:col>17</xdr:col>
      <xdr:colOff>0</xdr:colOff>
      <xdr:row>66</xdr:row>
      <xdr:rowOff>0</xdr:rowOff>
    </xdr:from>
    <xdr:to>
      <xdr:col>17</xdr:col>
      <xdr:colOff>9525</xdr:colOff>
      <xdr:row>66</xdr:row>
      <xdr:rowOff>205823</xdr:rowOff>
    </xdr:to>
    <xdr:sp macro="" textlink="">
      <xdr:nvSpPr>
        <xdr:cNvPr id="55" name="Text Box 1">
          <a:extLst>
            <a:ext uri="{FF2B5EF4-FFF2-40B4-BE49-F238E27FC236}">
              <a16:creationId xmlns:a16="http://schemas.microsoft.com/office/drawing/2014/main" id="{2539DF89-C3CF-441D-9DD4-9F47E8CF1B97}"/>
            </a:ext>
          </a:extLst>
        </xdr:cNvPr>
        <xdr:cNvSpPr txBox="1">
          <a:spLocks noChangeArrowheads="1"/>
        </xdr:cNvSpPr>
      </xdr:nvSpPr>
      <xdr:spPr bwMode="auto">
        <a:xfrm>
          <a:off x="8801100" y="9534525"/>
          <a:ext cx="9525" cy="205823"/>
        </a:xfrm>
        <a:prstGeom prst="rect">
          <a:avLst/>
        </a:prstGeom>
        <a:noFill/>
        <a:ln w="9525">
          <a:noFill/>
          <a:miter lim="800000"/>
          <a:headEnd/>
          <a:tailEnd/>
        </a:ln>
      </xdr:spPr>
    </xdr:sp>
    <xdr:clientData/>
  </xdr:twoCellAnchor>
  <xdr:oneCellAnchor>
    <xdr:from>
      <xdr:col>17</xdr:col>
      <xdr:colOff>0</xdr:colOff>
      <xdr:row>66</xdr:row>
      <xdr:rowOff>0</xdr:rowOff>
    </xdr:from>
    <xdr:ext cx="9525" cy="209552"/>
    <xdr:sp macro="" textlink="">
      <xdr:nvSpPr>
        <xdr:cNvPr id="56" name="Text Box 1">
          <a:extLst>
            <a:ext uri="{FF2B5EF4-FFF2-40B4-BE49-F238E27FC236}">
              <a16:creationId xmlns:a16="http://schemas.microsoft.com/office/drawing/2014/main" id="{F5DE2944-C649-40B1-BB40-00E1BDE83036}"/>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09552"/>
    <xdr:sp macro="" textlink="">
      <xdr:nvSpPr>
        <xdr:cNvPr id="57" name="Text Box 1">
          <a:extLst>
            <a:ext uri="{FF2B5EF4-FFF2-40B4-BE49-F238E27FC236}">
              <a16:creationId xmlns:a16="http://schemas.microsoft.com/office/drawing/2014/main" id="{8D0F6399-B686-4ACF-9421-9065E986859C}"/>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09552"/>
    <xdr:sp macro="" textlink="">
      <xdr:nvSpPr>
        <xdr:cNvPr id="58" name="Text Box 1">
          <a:extLst>
            <a:ext uri="{FF2B5EF4-FFF2-40B4-BE49-F238E27FC236}">
              <a16:creationId xmlns:a16="http://schemas.microsoft.com/office/drawing/2014/main" id="{9FC34651-BE0D-458F-B9BA-B53F53182FE6}"/>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59" name="Text Box 1">
          <a:extLst>
            <a:ext uri="{FF2B5EF4-FFF2-40B4-BE49-F238E27FC236}">
              <a16:creationId xmlns:a16="http://schemas.microsoft.com/office/drawing/2014/main" id="{8628DD9D-183F-4D6F-8F6B-A6E6F2E62D5A}"/>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60" name="Text Box 1">
          <a:extLst>
            <a:ext uri="{FF2B5EF4-FFF2-40B4-BE49-F238E27FC236}">
              <a16:creationId xmlns:a16="http://schemas.microsoft.com/office/drawing/2014/main" id="{EDB97B66-D388-4B6E-BDCC-67C2ADC01323}"/>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61" name="Text Box 1">
          <a:extLst>
            <a:ext uri="{FF2B5EF4-FFF2-40B4-BE49-F238E27FC236}">
              <a16:creationId xmlns:a16="http://schemas.microsoft.com/office/drawing/2014/main" id="{5A19B8D1-849E-4327-A6B1-1330FEEACC9F}"/>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09552"/>
    <xdr:sp macro="" textlink="">
      <xdr:nvSpPr>
        <xdr:cNvPr id="62" name="Text Box 1">
          <a:extLst>
            <a:ext uri="{FF2B5EF4-FFF2-40B4-BE49-F238E27FC236}">
              <a16:creationId xmlns:a16="http://schemas.microsoft.com/office/drawing/2014/main" id="{40BCDC20-A7F9-40C8-880B-CEEA828AC369}"/>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09552"/>
    <xdr:sp macro="" textlink="">
      <xdr:nvSpPr>
        <xdr:cNvPr id="63" name="Text Box 1">
          <a:extLst>
            <a:ext uri="{FF2B5EF4-FFF2-40B4-BE49-F238E27FC236}">
              <a16:creationId xmlns:a16="http://schemas.microsoft.com/office/drawing/2014/main" id="{316DC3A2-A986-488C-8592-9C05DF8B3DCA}"/>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09552"/>
    <xdr:sp macro="" textlink="">
      <xdr:nvSpPr>
        <xdr:cNvPr id="64" name="Text Box 1">
          <a:extLst>
            <a:ext uri="{FF2B5EF4-FFF2-40B4-BE49-F238E27FC236}">
              <a16:creationId xmlns:a16="http://schemas.microsoft.com/office/drawing/2014/main" id="{EB7CBEE5-26E3-40ED-9B4F-F56DFD88803C}"/>
            </a:ext>
          </a:extLst>
        </xdr:cNvPr>
        <xdr:cNvSpPr txBox="1">
          <a:spLocks noChangeArrowheads="1"/>
        </xdr:cNvSpPr>
      </xdr:nvSpPr>
      <xdr:spPr bwMode="auto">
        <a:xfrm>
          <a:off x="8801100" y="9534525"/>
          <a:ext cx="9525" cy="209552"/>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65" name="Text Box 1">
          <a:extLst>
            <a:ext uri="{FF2B5EF4-FFF2-40B4-BE49-F238E27FC236}">
              <a16:creationId xmlns:a16="http://schemas.microsoft.com/office/drawing/2014/main" id="{F48F38B7-C894-4E08-9065-253D02C3E188}"/>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66" name="Text Box 1">
          <a:extLst>
            <a:ext uri="{FF2B5EF4-FFF2-40B4-BE49-F238E27FC236}">
              <a16:creationId xmlns:a16="http://schemas.microsoft.com/office/drawing/2014/main" id="{46641E00-403B-4101-AE07-F9F5B18DE2E1}"/>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38127"/>
    <xdr:sp macro="" textlink="">
      <xdr:nvSpPr>
        <xdr:cNvPr id="67" name="Text Box 1">
          <a:extLst>
            <a:ext uri="{FF2B5EF4-FFF2-40B4-BE49-F238E27FC236}">
              <a16:creationId xmlns:a16="http://schemas.microsoft.com/office/drawing/2014/main" id="{593E6B26-5CEA-42D9-A296-C34CD3B5B846}"/>
            </a:ext>
          </a:extLst>
        </xdr:cNvPr>
        <xdr:cNvSpPr txBox="1">
          <a:spLocks noChangeArrowheads="1"/>
        </xdr:cNvSpPr>
      </xdr:nvSpPr>
      <xdr:spPr bwMode="auto">
        <a:xfrm>
          <a:off x="8801100" y="9534525"/>
          <a:ext cx="9525" cy="238127"/>
        </a:xfrm>
        <a:prstGeom prst="rect">
          <a:avLst/>
        </a:prstGeom>
        <a:noFill/>
        <a:ln w="9525">
          <a:noFill/>
          <a:miter lim="800000"/>
          <a:headEnd/>
          <a:tailEnd/>
        </a:ln>
      </xdr:spPr>
    </xdr:sp>
    <xdr:clientData/>
  </xdr:oneCellAnchor>
  <xdr:oneCellAnchor>
    <xdr:from>
      <xdr:col>17</xdr:col>
      <xdr:colOff>0</xdr:colOff>
      <xdr:row>66</xdr:row>
      <xdr:rowOff>0</xdr:rowOff>
    </xdr:from>
    <xdr:ext cx="9525" cy="209551"/>
    <xdr:sp macro="" textlink="">
      <xdr:nvSpPr>
        <xdr:cNvPr id="68" name="Text Box 1">
          <a:extLst>
            <a:ext uri="{FF2B5EF4-FFF2-40B4-BE49-F238E27FC236}">
              <a16:creationId xmlns:a16="http://schemas.microsoft.com/office/drawing/2014/main" id="{BC063C76-B9B8-4783-A4E1-21D6DDD5F127}"/>
            </a:ext>
          </a:extLst>
        </xdr:cNvPr>
        <xdr:cNvSpPr txBox="1">
          <a:spLocks noChangeArrowheads="1"/>
        </xdr:cNvSpPr>
      </xdr:nvSpPr>
      <xdr:spPr bwMode="auto">
        <a:xfrm>
          <a:off x="8801100" y="9534525"/>
          <a:ext cx="9525" cy="209551"/>
        </a:xfrm>
        <a:prstGeom prst="rect">
          <a:avLst/>
        </a:prstGeom>
        <a:noFill/>
        <a:ln w="9525">
          <a:noFill/>
          <a:miter lim="800000"/>
          <a:headEnd/>
          <a:tailEnd/>
        </a:ln>
      </xdr:spPr>
    </xdr:sp>
    <xdr:clientData/>
  </xdr:oneCellAnchor>
  <xdr:oneCellAnchor>
    <xdr:from>
      <xdr:col>17</xdr:col>
      <xdr:colOff>0</xdr:colOff>
      <xdr:row>66</xdr:row>
      <xdr:rowOff>0</xdr:rowOff>
    </xdr:from>
    <xdr:ext cx="9525" cy="209551"/>
    <xdr:sp macro="" textlink="">
      <xdr:nvSpPr>
        <xdr:cNvPr id="69" name="Text Box 1">
          <a:extLst>
            <a:ext uri="{FF2B5EF4-FFF2-40B4-BE49-F238E27FC236}">
              <a16:creationId xmlns:a16="http://schemas.microsoft.com/office/drawing/2014/main" id="{E3861464-0728-49A1-A77D-B464D2BAF552}"/>
            </a:ext>
          </a:extLst>
        </xdr:cNvPr>
        <xdr:cNvSpPr txBox="1">
          <a:spLocks noChangeArrowheads="1"/>
        </xdr:cNvSpPr>
      </xdr:nvSpPr>
      <xdr:spPr bwMode="auto">
        <a:xfrm>
          <a:off x="8801100" y="9534525"/>
          <a:ext cx="9525" cy="209551"/>
        </a:xfrm>
        <a:prstGeom prst="rect">
          <a:avLst/>
        </a:prstGeom>
        <a:noFill/>
        <a:ln w="9525">
          <a:noFill/>
          <a:miter lim="800000"/>
          <a:headEnd/>
          <a:tailEnd/>
        </a:ln>
      </xdr:spPr>
    </xdr:sp>
    <xdr:clientData/>
  </xdr:oneCellAnchor>
  <xdr:oneCellAnchor>
    <xdr:from>
      <xdr:col>17</xdr:col>
      <xdr:colOff>0</xdr:colOff>
      <xdr:row>66</xdr:row>
      <xdr:rowOff>0</xdr:rowOff>
    </xdr:from>
    <xdr:ext cx="9525" cy="209551"/>
    <xdr:sp macro="" textlink="">
      <xdr:nvSpPr>
        <xdr:cNvPr id="70" name="Text Box 1">
          <a:extLst>
            <a:ext uri="{FF2B5EF4-FFF2-40B4-BE49-F238E27FC236}">
              <a16:creationId xmlns:a16="http://schemas.microsoft.com/office/drawing/2014/main" id="{571E83B8-5611-410F-B474-5AE081F858E9}"/>
            </a:ext>
          </a:extLst>
        </xdr:cNvPr>
        <xdr:cNvSpPr txBox="1">
          <a:spLocks noChangeArrowheads="1"/>
        </xdr:cNvSpPr>
      </xdr:nvSpPr>
      <xdr:spPr bwMode="auto">
        <a:xfrm>
          <a:off x="8801100" y="9534525"/>
          <a:ext cx="9525" cy="209551"/>
        </a:xfrm>
        <a:prstGeom prst="rect">
          <a:avLst/>
        </a:prstGeom>
        <a:noFill/>
        <a:ln w="9525">
          <a:noFill/>
          <a:miter lim="800000"/>
          <a:headEnd/>
          <a:tailEnd/>
        </a:ln>
      </xdr:spPr>
    </xdr:sp>
    <xdr:clientData/>
  </xdr:oneCellAnchor>
</xdr:wsDr>
</file>

<file path=xl/drawings/drawing40.xml><?xml version="1.0" encoding="utf-8"?>
<xdr:wsDr xmlns:xdr="http://schemas.openxmlformats.org/drawingml/2006/spreadsheetDrawing" xmlns:a="http://schemas.openxmlformats.org/drawingml/2006/main">
  <xdr:twoCellAnchor>
    <xdr:from>
      <xdr:col>1</xdr:col>
      <xdr:colOff>32826</xdr:colOff>
      <xdr:row>5</xdr:row>
      <xdr:rowOff>88901</xdr:rowOff>
    </xdr:from>
    <xdr:to>
      <xdr:col>9</xdr:col>
      <xdr:colOff>333644</xdr:colOff>
      <xdr:row>32</xdr:row>
      <xdr:rowOff>53814</xdr:rowOff>
    </xdr:to>
    <xdr:graphicFrame macro="">
      <xdr:nvGraphicFramePr>
        <xdr:cNvPr id="2" name="Chart 1">
          <a:extLst>
            <a:ext uri="{FF2B5EF4-FFF2-40B4-BE49-F238E27FC236}">
              <a16:creationId xmlns:a16="http://schemas.microsoft.com/office/drawing/2014/main" id="{5C7677BF-5BB2-4B20-ACD4-032C946CF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333643</xdr:colOff>
      <xdr:row>5</xdr:row>
      <xdr:rowOff>0</xdr:rowOff>
    </xdr:from>
    <xdr:to>
      <xdr:col>17</xdr:col>
      <xdr:colOff>333644</xdr:colOff>
      <xdr:row>31</xdr:row>
      <xdr:rowOff>142876</xdr:rowOff>
    </xdr:to>
    <xdr:graphicFrame macro="">
      <xdr:nvGraphicFramePr>
        <xdr:cNvPr id="3" name="Chart 2">
          <a:extLst>
            <a:ext uri="{FF2B5EF4-FFF2-40B4-BE49-F238E27FC236}">
              <a16:creationId xmlns:a16="http://schemas.microsoft.com/office/drawing/2014/main" id="{105C3CFA-FA9E-4990-B9C4-6525B515B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398220</xdr:colOff>
      <xdr:row>5</xdr:row>
      <xdr:rowOff>0</xdr:rowOff>
    </xdr:from>
    <xdr:to>
      <xdr:col>24</xdr:col>
      <xdr:colOff>1140847</xdr:colOff>
      <xdr:row>32</xdr:row>
      <xdr:rowOff>13494</xdr:rowOff>
    </xdr:to>
    <xdr:graphicFrame macro="">
      <xdr:nvGraphicFramePr>
        <xdr:cNvPr id="4" name="Chart 3">
          <a:extLst>
            <a:ext uri="{FF2B5EF4-FFF2-40B4-BE49-F238E27FC236}">
              <a16:creationId xmlns:a16="http://schemas.microsoft.com/office/drawing/2014/main" id="{43D14DC8-5E11-4AFD-8D8F-43DF41148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xdr:colOff>
      <xdr:row>3</xdr:row>
      <xdr:rowOff>120650</xdr:rowOff>
    </xdr:from>
    <xdr:to>
      <xdr:col>6</xdr:col>
      <xdr:colOff>571500</xdr:colOff>
      <xdr:row>5</xdr:row>
      <xdr:rowOff>107950</xdr:rowOff>
    </xdr:to>
    <xdr:sp macro="" textlink="">
      <xdr:nvSpPr>
        <xdr:cNvPr id="5" name="TextBox 4">
          <a:extLst>
            <a:ext uri="{FF2B5EF4-FFF2-40B4-BE49-F238E27FC236}">
              <a16:creationId xmlns:a16="http://schemas.microsoft.com/office/drawing/2014/main" id="{3DFABB73-C73F-431E-833D-B37517BD23E9}"/>
            </a:ext>
          </a:extLst>
        </xdr:cNvPr>
        <xdr:cNvSpPr txBox="1"/>
      </xdr:nvSpPr>
      <xdr:spPr>
        <a:xfrm>
          <a:off x="2495550" y="606425"/>
          <a:ext cx="1733550" cy="311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1. Colombia</a:t>
          </a:r>
        </a:p>
      </xdr:txBody>
    </xdr:sp>
    <xdr:clientData/>
  </xdr:twoCellAnchor>
  <xdr:twoCellAnchor>
    <xdr:from>
      <xdr:col>12</xdr:col>
      <xdr:colOff>516610</xdr:colOff>
      <xdr:row>3</xdr:row>
      <xdr:rowOff>76200</xdr:rowOff>
    </xdr:from>
    <xdr:to>
      <xdr:col>14</xdr:col>
      <xdr:colOff>495085</xdr:colOff>
      <xdr:row>5</xdr:row>
      <xdr:rowOff>96864</xdr:rowOff>
    </xdr:to>
    <xdr:sp macro="" textlink="">
      <xdr:nvSpPr>
        <xdr:cNvPr id="6" name="TextBox 5">
          <a:extLst>
            <a:ext uri="{FF2B5EF4-FFF2-40B4-BE49-F238E27FC236}">
              <a16:creationId xmlns:a16="http://schemas.microsoft.com/office/drawing/2014/main" id="{9205AF13-324B-4D8A-B9E4-AAA24868B992}"/>
            </a:ext>
          </a:extLst>
        </xdr:cNvPr>
        <xdr:cNvSpPr txBox="1"/>
      </xdr:nvSpPr>
      <xdr:spPr>
        <a:xfrm>
          <a:off x="7831810" y="561975"/>
          <a:ext cx="1197675" cy="344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2. Finland</a:t>
          </a:r>
        </a:p>
      </xdr:txBody>
    </xdr:sp>
    <xdr:clientData/>
  </xdr:twoCellAnchor>
  <xdr:twoCellAnchor>
    <xdr:from>
      <xdr:col>20</xdr:col>
      <xdr:colOff>393700</xdr:colOff>
      <xdr:row>3</xdr:row>
      <xdr:rowOff>25400</xdr:rowOff>
    </xdr:from>
    <xdr:to>
      <xdr:col>22</xdr:col>
      <xdr:colOff>400050</xdr:colOff>
      <xdr:row>5</xdr:row>
      <xdr:rowOff>57150</xdr:rowOff>
    </xdr:to>
    <xdr:sp macro="" textlink="">
      <xdr:nvSpPr>
        <xdr:cNvPr id="7" name="TextBox 6">
          <a:extLst>
            <a:ext uri="{FF2B5EF4-FFF2-40B4-BE49-F238E27FC236}">
              <a16:creationId xmlns:a16="http://schemas.microsoft.com/office/drawing/2014/main" id="{9040A2A8-0D94-4681-907E-BCF553C59B44}"/>
            </a:ext>
          </a:extLst>
        </xdr:cNvPr>
        <xdr:cNvSpPr txBox="1"/>
      </xdr:nvSpPr>
      <xdr:spPr>
        <a:xfrm>
          <a:off x="12585700" y="511175"/>
          <a:ext cx="1225550" cy="355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3.</a:t>
          </a:r>
          <a:r>
            <a:rPr lang="en-US" sz="1400" baseline="0">
              <a:latin typeface="Arial" panose="020B0604020202020204" pitchFamily="34" charset="0"/>
              <a:cs typeface="Arial" panose="020B0604020202020204" pitchFamily="34" charset="0"/>
            </a:rPr>
            <a:t> France</a:t>
          </a:r>
          <a:endParaRPr lang="en-US" sz="1400">
            <a:latin typeface="Arial" panose="020B0604020202020204" pitchFamily="34" charset="0"/>
            <a:cs typeface="Arial" panose="020B0604020202020204" pitchFamily="34" charset="0"/>
          </a:endParaRPr>
        </a:p>
      </xdr:txBody>
    </xdr:sp>
    <xdr:clientData/>
  </xdr:twoCellAnchor>
  <xdr:twoCellAnchor editAs="oneCell">
    <xdr:from>
      <xdr:col>1</xdr:col>
      <xdr:colOff>128586</xdr:colOff>
      <xdr:row>40</xdr:row>
      <xdr:rowOff>24463</xdr:rowOff>
    </xdr:from>
    <xdr:to>
      <xdr:col>24</xdr:col>
      <xdr:colOff>1109446</xdr:colOff>
      <xdr:row>72</xdr:row>
      <xdr:rowOff>131865</xdr:rowOff>
    </xdr:to>
    <xdr:pic>
      <xdr:nvPicPr>
        <xdr:cNvPr id="8" name="Picture 7">
          <a:extLst>
            <a:ext uri="{FF2B5EF4-FFF2-40B4-BE49-F238E27FC236}">
              <a16:creationId xmlns:a16="http://schemas.microsoft.com/office/drawing/2014/main" id="{5A5C0B1B-F99C-46A2-B831-C85DBEEB7955}"/>
            </a:ext>
          </a:extLst>
        </xdr:cNvPr>
        <xdr:cNvPicPr>
          <a:picLocks noChangeAspect="1"/>
        </xdr:cNvPicPr>
      </xdr:nvPicPr>
      <xdr:blipFill>
        <a:blip xmlns:r="http://schemas.openxmlformats.org/officeDocument/2006/relationships" r:embed="rId4"/>
        <a:stretch>
          <a:fillRect/>
        </a:stretch>
      </xdr:blipFill>
      <xdr:spPr>
        <a:xfrm>
          <a:off x="738186" y="6501463"/>
          <a:ext cx="15001660" cy="52890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161636</xdr:colOff>
      <xdr:row>5</xdr:row>
      <xdr:rowOff>92365</xdr:rowOff>
    </xdr:from>
    <xdr:to>
      <xdr:col>18</xdr:col>
      <xdr:colOff>207818</xdr:colOff>
      <xdr:row>40</xdr:row>
      <xdr:rowOff>23429</xdr:rowOff>
    </xdr:to>
    <xdr:graphicFrame macro="">
      <xdr:nvGraphicFramePr>
        <xdr:cNvPr id="2" name="Chart 1">
          <a:extLst>
            <a:ext uri="{FF2B5EF4-FFF2-40B4-BE49-F238E27FC236}">
              <a16:creationId xmlns:a16="http://schemas.microsoft.com/office/drawing/2014/main" id="{EFF59856-09F3-4BAD-A972-C7C2E834B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51955</xdr:colOff>
      <xdr:row>12</xdr:row>
      <xdr:rowOff>77933</xdr:rowOff>
    </xdr:from>
    <xdr:to>
      <xdr:col>24</xdr:col>
      <xdr:colOff>1548006</xdr:colOff>
      <xdr:row>34</xdr:row>
      <xdr:rowOff>77932</xdr:rowOff>
    </xdr:to>
    <xdr:pic>
      <xdr:nvPicPr>
        <xdr:cNvPr id="3" name="Picture 2">
          <a:extLst>
            <a:ext uri="{FF2B5EF4-FFF2-40B4-BE49-F238E27FC236}">
              <a16:creationId xmlns:a16="http://schemas.microsoft.com/office/drawing/2014/main" id="{54ADA0EB-8004-4553-B8B2-B9827177F452}"/>
            </a:ext>
          </a:extLst>
        </xdr:cNvPr>
        <xdr:cNvPicPr>
          <a:picLocks noChangeAspect="1"/>
        </xdr:cNvPicPr>
      </xdr:nvPicPr>
      <xdr:blipFill>
        <a:blip xmlns:r="http://schemas.openxmlformats.org/officeDocument/2006/relationships" r:embed="rId2"/>
        <a:stretch>
          <a:fillRect/>
        </a:stretch>
      </xdr:blipFill>
      <xdr:spPr>
        <a:xfrm>
          <a:off x="12282055" y="2021033"/>
          <a:ext cx="6363326" cy="35623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651781</xdr:colOff>
      <xdr:row>17</xdr:row>
      <xdr:rowOff>3400</xdr:rowOff>
    </xdr:from>
    <xdr:to>
      <xdr:col>12</xdr:col>
      <xdr:colOff>500062</xdr:colOff>
      <xdr:row>21</xdr:row>
      <xdr:rowOff>52387</xdr:rowOff>
    </xdr:to>
    <xdr:sp macro="" textlink="">
      <xdr:nvSpPr>
        <xdr:cNvPr id="2" name="TextBox 1">
          <a:extLst>
            <a:ext uri="{FF2B5EF4-FFF2-40B4-BE49-F238E27FC236}">
              <a16:creationId xmlns:a16="http://schemas.microsoft.com/office/drawing/2014/main" id="{45FD4FD4-7CEF-4CA4-93E8-EC9B6A08FC79}"/>
            </a:ext>
          </a:extLst>
        </xdr:cNvPr>
        <xdr:cNvSpPr txBox="1"/>
      </xdr:nvSpPr>
      <xdr:spPr>
        <a:xfrm>
          <a:off x="613681" y="2784700"/>
          <a:ext cx="7201581" cy="696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Sources: IMF staff analysis using the IMF Public Finances in Modern History database; and Jordà, Schularick, and Taylor (2017).</a:t>
          </a:r>
        </a:p>
        <a:p>
          <a:r>
            <a:rPr lang="en-US" sz="1000">
              <a:solidFill>
                <a:schemeClr val="dk1"/>
              </a:solidFill>
              <a:effectLst/>
              <a:latin typeface="Arial" panose="020B0604020202020204" pitchFamily="34" charset="0"/>
              <a:ea typeface="+mn-ea"/>
              <a:cs typeface="Arial" panose="020B0604020202020204" pitchFamily="34" charset="0"/>
            </a:rPr>
            <a:t>Note: The panels plot average impulse responses and the 90 percent confidence bands (shaded blue area and shortdashed lines). See Online Annex 2.4 for further details.</a:t>
          </a:r>
          <a:endParaRPr lang="en-US" sz="1000">
            <a:latin typeface="Arial" panose="020B0604020202020204" pitchFamily="34" charset="0"/>
            <a:cs typeface="Arial" panose="020B0604020202020204" pitchFamily="34" charset="0"/>
          </a:endParaRPr>
        </a:p>
      </xdr:txBody>
    </xdr:sp>
    <xdr:clientData/>
  </xdr:twoCellAnchor>
  <xdr:twoCellAnchor>
    <xdr:from>
      <xdr:col>6</xdr:col>
      <xdr:colOff>570902</xdr:colOff>
      <xdr:row>2</xdr:row>
      <xdr:rowOff>56850</xdr:rowOff>
    </xdr:from>
    <xdr:to>
      <xdr:col>12</xdr:col>
      <xdr:colOff>436218</xdr:colOff>
      <xdr:row>16</xdr:row>
      <xdr:rowOff>81697</xdr:rowOff>
    </xdr:to>
    <xdr:graphicFrame macro="">
      <xdr:nvGraphicFramePr>
        <xdr:cNvPr id="3" name="Chart 2">
          <a:extLst>
            <a:ext uri="{FF2B5EF4-FFF2-40B4-BE49-F238E27FC236}">
              <a16:creationId xmlns:a16="http://schemas.microsoft.com/office/drawing/2014/main" id="{DE1FA5B4-615D-464E-A051-CA6CA1CA1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35565</xdr:colOff>
      <xdr:row>2</xdr:row>
      <xdr:rowOff>47171</xdr:rowOff>
    </xdr:from>
    <xdr:to>
      <xdr:col>7</xdr:col>
      <xdr:colOff>60739</xdr:colOff>
      <xdr:row>16</xdr:row>
      <xdr:rowOff>72018</xdr:rowOff>
    </xdr:to>
    <xdr:graphicFrame macro="">
      <xdr:nvGraphicFramePr>
        <xdr:cNvPr id="4" name="Chart 3">
          <a:extLst>
            <a:ext uri="{FF2B5EF4-FFF2-40B4-BE49-F238E27FC236}">
              <a16:creationId xmlns:a16="http://schemas.microsoft.com/office/drawing/2014/main" id="{A1402AAA-51BA-4D6D-9E14-7821ECE60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447674</xdr:colOff>
      <xdr:row>2</xdr:row>
      <xdr:rowOff>34661</xdr:rowOff>
    </xdr:from>
    <xdr:to>
      <xdr:col>5</xdr:col>
      <xdr:colOff>387802</xdr:colOff>
      <xdr:row>3</xdr:row>
      <xdr:rowOff>142875</xdr:rowOff>
    </xdr:to>
    <xdr:sp macro="" textlink="">
      <xdr:nvSpPr>
        <xdr:cNvPr id="5" name="TextBox 4">
          <a:extLst>
            <a:ext uri="{FF2B5EF4-FFF2-40B4-BE49-F238E27FC236}">
              <a16:creationId xmlns:a16="http://schemas.microsoft.com/office/drawing/2014/main" id="{8F34CCA5-502B-4621-8427-F7DBD39DD300}"/>
            </a:ext>
          </a:extLst>
        </xdr:cNvPr>
        <xdr:cNvSpPr txBox="1"/>
      </xdr:nvSpPr>
      <xdr:spPr>
        <a:xfrm>
          <a:off x="2276474" y="387086"/>
          <a:ext cx="1159328" cy="27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1. Output</a:t>
          </a:r>
        </a:p>
      </xdr:txBody>
    </xdr:sp>
    <xdr:clientData/>
  </xdr:twoCellAnchor>
  <xdr:twoCellAnchor>
    <xdr:from>
      <xdr:col>9</xdr:col>
      <xdr:colOff>410225</xdr:colOff>
      <xdr:row>2</xdr:row>
      <xdr:rowOff>49209</xdr:rowOff>
    </xdr:from>
    <xdr:to>
      <xdr:col>11</xdr:col>
      <xdr:colOff>238125</xdr:colOff>
      <xdr:row>4</xdr:row>
      <xdr:rowOff>6804</xdr:rowOff>
    </xdr:to>
    <xdr:sp macro="" textlink="">
      <xdr:nvSpPr>
        <xdr:cNvPr id="6" name="TextBox 5">
          <a:extLst>
            <a:ext uri="{FF2B5EF4-FFF2-40B4-BE49-F238E27FC236}">
              <a16:creationId xmlns:a16="http://schemas.microsoft.com/office/drawing/2014/main" id="{67D5D24E-5DD8-47FC-9A8A-AC4705E58D43}"/>
            </a:ext>
          </a:extLst>
        </xdr:cNvPr>
        <xdr:cNvSpPr txBox="1"/>
      </xdr:nvSpPr>
      <xdr:spPr>
        <a:xfrm>
          <a:off x="5896625" y="401634"/>
          <a:ext cx="1047100" cy="281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2. Inflation</a:t>
          </a:r>
        </a:p>
      </xdr:txBody>
    </xdr:sp>
    <xdr:clientData/>
  </xdr:twoCellAnchor>
  <xdr:twoCellAnchor editAs="oneCell">
    <xdr:from>
      <xdr:col>1</xdr:col>
      <xdr:colOff>638175</xdr:colOff>
      <xdr:row>26</xdr:row>
      <xdr:rowOff>0</xdr:rowOff>
    </xdr:from>
    <xdr:to>
      <xdr:col>10</xdr:col>
      <xdr:colOff>314325</xdr:colOff>
      <xdr:row>36</xdr:row>
      <xdr:rowOff>61863</xdr:rowOff>
    </xdr:to>
    <xdr:pic>
      <xdr:nvPicPr>
        <xdr:cNvPr id="7" name="Picture 6">
          <a:extLst>
            <a:ext uri="{FF2B5EF4-FFF2-40B4-BE49-F238E27FC236}">
              <a16:creationId xmlns:a16="http://schemas.microsoft.com/office/drawing/2014/main" id="{0C51D68F-E86F-4776-81B5-100A69BCB885}"/>
            </a:ext>
          </a:extLst>
        </xdr:cNvPr>
        <xdr:cNvPicPr>
          <a:picLocks noChangeAspect="1"/>
        </xdr:cNvPicPr>
      </xdr:nvPicPr>
      <xdr:blipFill>
        <a:blip xmlns:r="http://schemas.openxmlformats.org/officeDocument/2006/relationships" r:embed="rId3"/>
        <a:stretch>
          <a:fillRect/>
        </a:stretch>
      </xdr:blipFill>
      <xdr:spPr>
        <a:xfrm>
          <a:off x="1219200" y="4238625"/>
          <a:ext cx="5191125" cy="168111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487258</xdr:colOff>
      <xdr:row>20</xdr:row>
      <xdr:rowOff>55354</xdr:rowOff>
    </xdr:from>
    <xdr:to>
      <xdr:col>15</xdr:col>
      <xdr:colOff>277091</xdr:colOff>
      <xdr:row>24</xdr:row>
      <xdr:rowOff>104339</xdr:rowOff>
    </xdr:to>
    <xdr:sp macro="" textlink="">
      <xdr:nvSpPr>
        <xdr:cNvPr id="2" name="TextBox 1">
          <a:extLst>
            <a:ext uri="{FF2B5EF4-FFF2-40B4-BE49-F238E27FC236}">
              <a16:creationId xmlns:a16="http://schemas.microsoft.com/office/drawing/2014/main" id="{1FFE5F59-41AB-45D6-A124-DC8E9049CCDA}"/>
            </a:ext>
          </a:extLst>
        </xdr:cNvPr>
        <xdr:cNvSpPr txBox="1"/>
      </xdr:nvSpPr>
      <xdr:spPr>
        <a:xfrm>
          <a:off x="1096858" y="3322429"/>
          <a:ext cx="8324233" cy="6966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Sources: IMF staff estimates using the Ramey and Zubairy (2018) database; and IMF World Economic Outlook database.</a:t>
          </a:r>
        </a:p>
        <a:p>
          <a:r>
            <a:rPr lang="en-US" sz="1000">
              <a:solidFill>
                <a:schemeClr val="dk1"/>
              </a:solidFill>
              <a:effectLst/>
              <a:latin typeface="Arial" panose="020B0604020202020204" pitchFamily="34" charset="0"/>
              <a:ea typeface="+mn-ea"/>
              <a:cs typeface="Arial" panose="020B0604020202020204" pitchFamily="34" charset="0"/>
            </a:rPr>
            <a:t>Note: The figure covers the period from the first quarter of 1939 to the fourth quarter of 2015. The panels plot the average impulse responses (solid blue line) and the 90 percent confidence bands (blue shaded areas). See Online Annex 2.4.</a:t>
          </a:r>
          <a:endParaRPr lang="en-US" sz="1000">
            <a:latin typeface="Arial" panose="020B0604020202020204" pitchFamily="34" charset="0"/>
            <a:cs typeface="Arial" panose="020B0604020202020204" pitchFamily="34" charset="0"/>
          </a:endParaRPr>
        </a:p>
      </xdr:txBody>
    </xdr:sp>
    <xdr:clientData/>
  </xdr:twoCellAnchor>
  <xdr:twoCellAnchor>
    <xdr:from>
      <xdr:col>1</xdr:col>
      <xdr:colOff>149680</xdr:colOff>
      <xdr:row>3</xdr:row>
      <xdr:rowOff>134835</xdr:rowOff>
    </xdr:from>
    <xdr:to>
      <xdr:col>9</xdr:col>
      <xdr:colOff>331184</xdr:colOff>
      <xdr:row>20</xdr:row>
      <xdr:rowOff>22309</xdr:rowOff>
    </xdr:to>
    <xdr:graphicFrame macro="">
      <xdr:nvGraphicFramePr>
        <xdr:cNvPr id="3" name="Chart 2">
          <a:extLst>
            <a:ext uri="{FF2B5EF4-FFF2-40B4-BE49-F238E27FC236}">
              <a16:creationId xmlns:a16="http://schemas.microsoft.com/office/drawing/2014/main" id="{F927C403-542E-44A1-9C0A-D80ED1CCE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85034</xdr:colOff>
      <xdr:row>3</xdr:row>
      <xdr:rowOff>133353</xdr:rowOff>
    </xdr:from>
    <xdr:to>
      <xdr:col>17</xdr:col>
      <xdr:colOff>402082</xdr:colOff>
      <xdr:row>20</xdr:row>
      <xdr:rowOff>32388</xdr:rowOff>
    </xdr:to>
    <xdr:graphicFrame macro="">
      <xdr:nvGraphicFramePr>
        <xdr:cNvPr id="4" name="Chart 3">
          <a:extLst>
            <a:ext uri="{FF2B5EF4-FFF2-40B4-BE49-F238E27FC236}">
              <a16:creationId xmlns:a16="http://schemas.microsoft.com/office/drawing/2014/main" id="{BB2347AE-E60C-423C-8BCC-1D172DE06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202072</xdr:colOff>
      <xdr:row>2</xdr:row>
      <xdr:rowOff>2041</xdr:rowOff>
    </xdr:from>
    <xdr:to>
      <xdr:col>16</xdr:col>
      <xdr:colOff>530680</xdr:colOff>
      <xdr:row>4</xdr:row>
      <xdr:rowOff>28335</xdr:rowOff>
    </xdr:to>
    <xdr:sp macro="" textlink="">
      <xdr:nvSpPr>
        <xdr:cNvPr id="5" name="TextBox 4">
          <a:extLst>
            <a:ext uri="{FF2B5EF4-FFF2-40B4-BE49-F238E27FC236}">
              <a16:creationId xmlns:a16="http://schemas.microsoft.com/office/drawing/2014/main" id="{9F4DDFEA-D0FB-4FEB-8C15-DCF3AF343250}"/>
            </a:ext>
          </a:extLst>
        </xdr:cNvPr>
        <xdr:cNvSpPr txBox="1"/>
      </xdr:nvSpPr>
      <xdr:spPr>
        <a:xfrm>
          <a:off x="6907672" y="354466"/>
          <a:ext cx="3376608" cy="350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Arial" panose="020B0604020202020204" pitchFamily="34" charset="0"/>
              <a:ea typeface="+mn-ea"/>
              <a:cs typeface="Arial" panose="020B0604020202020204" pitchFamily="34" charset="0"/>
            </a:rPr>
            <a:t>2. Impulse Response for Inflation</a:t>
          </a:r>
        </a:p>
      </xdr:txBody>
    </xdr:sp>
    <xdr:clientData/>
  </xdr:twoCellAnchor>
  <xdr:twoCellAnchor>
    <xdr:from>
      <xdr:col>3</xdr:col>
      <xdr:colOff>264424</xdr:colOff>
      <xdr:row>2</xdr:row>
      <xdr:rowOff>0</xdr:rowOff>
    </xdr:from>
    <xdr:to>
      <xdr:col>8</xdr:col>
      <xdr:colOff>593032</xdr:colOff>
      <xdr:row>3</xdr:row>
      <xdr:rowOff>160324</xdr:rowOff>
    </xdr:to>
    <xdr:sp macro="" textlink="">
      <xdr:nvSpPr>
        <xdr:cNvPr id="6" name="TextBox 5">
          <a:extLst>
            <a:ext uri="{FF2B5EF4-FFF2-40B4-BE49-F238E27FC236}">
              <a16:creationId xmlns:a16="http://schemas.microsoft.com/office/drawing/2014/main" id="{DB590738-BDBE-4059-80AF-32C6F2183C3B}"/>
            </a:ext>
          </a:extLst>
        </xdr:cNvPr>
        <xdr:cNvSpPr txBox="1"/>
      </xdr:nvSpPr>
      <xdr:spPr>
        <a:xfrm>
          <a:off x="2093224" y="352425"/>
          <a:ext cx="3376608" cy="322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Arial" panose="020B0604020202020204" pitchFamily="34" charset="0"/>
              <a:ea typeface="+mn-ea"/>
              <a:cs typeface="Arial" panose="020B0604020202020204" pitchFamily="34" charset="0"/>
            </a:rPr>
            <a:t>1. Impulse Response for</a:t>
          </a:r>
          <a:r>
            <a:rPr lang="en-US" sz="1600" baseline="0">
              <a:solidFill>
                <a:schemeClr val="dk1"/>
              </a:solidFill>
              <a:effectLst/>
              <a:latin typeface="Arial" panose="020B0604020202020204" pitchFamily="34" charset="0"/>
              <a:ea typeface="+mn-ea"/>
              <a:cs typeface="Arial" panose="020B0604020202020204" pitchFamily="34" charset="0"/>
            </a:rPr>
            <a:t> Output</a:t>
          </a:r>
          <a:endParaRPr lang="en-US" sz="16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19</xdr:col>
      <xdr:colOff>27214</xdr:colOff>
      <xdr:row>17</xdr:row>
      <xdr:rowOff>13607</xdr:rowOff>
    </xdr:from>
    <xdr:to>
      <xdr:col>28</xdr:col>
      <xdr:colOff>14358</xdr:colOff>
      <xdr:row>26</xdr:row>
      <xdr:rowOff>108857</xdr:rowOff>
    </xdr:to>
    <xdr:pic>
      <xdr:nvPicPr>
        <xdr:cNvPr id="7" name="Picture 6">
          <a:extLst>
            <a:ext uri="{FF2B5EF4-FFF2-40B4-BE49-F238E27FC236}">
              <a16:creationId xmlns:a16="http://schemas.microsoft.com/office/drawing/2014/main" id="{3DB44170-29C9-4E4B-8405-3D611C63E360}"/>
            </a:ext>
          </a:extLst>
        </xdr:cNvPr>
        <xdr:cNvPicPr>
          <a:picLocks noChangeAspect="1"/>
        </xdr:cNvPicPr>
      </xdr:nvPicPr>
      <xdr:blipFill>
        <a:blip xmlns:r="http://schemas.openxmlformats.org/officeDocument/2006/relationships" r:embed="rId3"/>
        <a:stretch>
          <a:fillRect/>
        </a:stretch>
      </xdr:blipFill>
      <xdr:spPr>
        <a:xfrm>
          <a:off x="11609614" y="2794907"/>
          <a:ext cx="5473544" cy="15525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381000</xdr:colOff>
      <xdr:row>26</xdr:row>
      <xdr:rowOff>158750</xdr:rowOff>
    </xdr:from>
    <xdr:to>
      <xdr:col>8</xdr:col>
      <xdr:colOff>412750</xdr:colOff>
      <xdr:row>44</xdr:row>
      <xdr:rowOff>93435</xdr:rowOff>
    </xdr:to>
    <xdr:graphicFrame macro="">
      <xdr:nvGraphicFramePr>
        <xdr:cNvPr id="2" name="Chart 1">
          <a:extLst>
            <a:ext uri="{FF2B5EF4-FFF2-40B4-BE49-F238E27FC236}">
              <a16:creationId xmlns:a16="http://schemas.microsoft.com/office/drawing/2014/main" id="{4D46AA29-53EC-4BA4-BE0C-DEF199FAF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404812</xdr:colOff>
      <xdr:row>27</xdr:row>
      <xdr:rowOff>47761</xdr:rowOff>
    </xdr:from>
    <xdr:to>
      <xdr:col>15</xdr:col>
      <xdr:colOff>467589</xdr:colOff>
      <xdr:row>44</xdr:row>
      <xdr:rowOff>107799</xdr:rowOff>
    </xdr:to>
    <xdr:graphicFrame macro="">
      <xdr:nvGraphicFramePr>
        <xdr:cNvPr id="3" name="Chart 2">
          <a:extLst>
            <a:ext uri="{FF2B5EF4-FFF2-40B4-BE49-F238E27FC236}">
              <a16:creationId xmlns:a16="http://schemas.microsoft.com/office/drawing/2014/main" id="{35DBC85C-D2DA-4912-8EA1-DF4BC03DF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412750</xdr:colOff>
      <xdr:row>7</xdr:row>
      <xdr:rowOff>55078</xdr:rowOff>
    </xdr:from>
    <xdr:to>
      <xdr:col>8</xdr:col>
      <xdr:colOff>349250</xdr:colOff>
      <xdr:row>24</xdr:row>
      <xdr:rowOff>180263</xdr:rowOff>
    </xdr:to>
    <xdr:graphicFrame macro="">
      <xdr:nvGraphicFramePr>
        <xdr:cNvPr id="4" name="Chart 3">
          <a:extLst>
            <a:ext uri="{FF2B5EF4-FFF2-40B4-BE49-F238E27FC236}">
              <a16:creationId xmlns:a16="http://schemas.microsoft.com/office/drawing/2014/main" id="{9A07D1B6-75E0-4DFD-ADFC-18C3757D0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476250</xdr:colOff>
      <xdr:row>7</xdr:row>
      <xdr:rowOff>101534</xdr:rowOff>
    </xdr:from>
    <xdr:to>
      <xdr:col>15</xdr:col>
      <xdr:colOff>347805</xdr:colOff>
      <xdr:row>25</xdr:row>
      <xdr:rowOff>30446</xdr:rowOff>
    </xdr:to>
    <xdr:graphicFrame macro="">
      <xdr:nvGraphicFramePr>
        <xdr:cNvPr id="5" name="Chart 4">
          <a:extLst>
            <a:ext uri="{FF2B5EF4-FFF2-40B4-BE49-F238E27FC236}">
              <a16:creationId xmlns:a16="http://schemas.microsoft.com/office/drawing/2014/main" id="{1B0DE46A-8C42-4AF7-BCC8-49E46B686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95250</xdr:colOff>
      <xdr:row>7</xdr:row>
      <xdr:rowOff>120611</xdr:rowOff>
    </xdr:from>
    <xdr:to>
      <xdr:col>23</xdr:col>
      <xdr:colOff>547687</xdr:colOff>
      <xdr:row>25</xdr:row>
      <xdr:rowOff>49523</xdr:rowOff>
    </xdr:to>
    <xdr:graphicFrame macro="">
      <xdr:nvGraphicFramePr>
        <xdr:cNvPr id="6" name="Chart 5">
          <a:extLst>
            <a:ext uri="{FF2B5EF4-FFF2-40B4-BE49-F238E27FC236}">
              <a16:creationId xmlns:a16="http://schemas.microsoft.com/office/drawing/2014/main" id="{5B9732A5-D95A-47BC-91C1-EB0C4CB7F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254006</xdr:colOff>
      <xdr:row>64</xdr:row>
      <xdr:rowOff>7626</xdr:rowOff>
    </xdr:from>
    <xdr:to>
      <xdr:col>14</xdr:col>
      <xdr:colOff>11552</xdr:colOff>
      <xdr:row>66</xdr:row>
      <xdr:rowOff>36081</xdr:rowOff>
    </xdr:to>
    <xdr:sp macro="" textlink="">
      <xdr:nvSpPr>
        <xdr:cNvPr id="7" name="TextBox 6">
          <a:extLst>
            <a:ext uri="{FF2B5EF4-FFF2-40B4-BE49-F238E27FC236}">
              <a16:creationId xmlns:a16="http://schemas.microsoft.com/office/drawing/2014/main" id="{EEAD194E-DA56-48E8-B805-6CFEA1B2BBD1}"/>
            </a:ext>
          </a:extLst>
        </xdr:cNvPr>
        <xdr:cNvSpPr txBox="1"/>
      </xdr:nvSpPr>
      <xdr:spPr>
        <a:xfrm>
          <a:off x="5854706" y="12199626"/>
          <a:ext cx="2138796" cy="40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Arial" panose="020B0604020202020204" pitchFamily="34" charset="0"/>
              <a:cs typeface="Arial" panose="020B0604020202020204" pitchFamily="34" charset="0"/>
            </a:rPr>
            <a:t>Quarter</a:t>
          </a:r>
          <a:r>
            <a:rPr lang="en-US" sz="1800" baseline="0">
              <a:latin typeface="Arial" panose="020B0604020202020204" pitchFamily="34" charset="0"/>
              <a:cs typeface="Arial" panose="020B0604020202020204" pitchFamily="34" charset="0"/>
            </a:rPr>
            <a:t> after shock</a:t>
          </a:r>
          <a:endParaRPr lang="en-US" sz="1800">
            <a:latin typeface="Arial" panose="020B0604020202020204" pitchFamily="34" charset="0"/>
            <a:cs typeface="Arial" panose="020B0604020202020204" pitchFamily="34" charset="0"/>
          </a:endParaRPr>
        </a:p>
      </xdr:txBody>
    </xdr:sp>
    <xdr:clientData/>
  </xdr:twoCellAnchor>
  <xdr:twoCellAnchor>
    <xdr:from>
      <xdr:col>16</xdr:col>
      <xdr:colOff>143630</xdr:colOff>
      <xdr:row>47</xdr:row>
      <xdr:rowOff>36500</xdr:rowOff>
    </xdr:from>
    <xdr:to>
      <xdr:col>23</xdr:col>
      <xdr:colOff>404812</xdr:colOff>
      <xdr:row>64</xdr:row>
      <xdr:rowOff>96537</xdr:rowOff>
    </xdr:to>
    <xdr:graphicFrame macro="">
      <xdr:nvGraphicFramePr>
        <xdr:cNvPr id="8" name="Chart 7">
          <a:extLst>
            <a:ext uri="{FF2B5EF4-FFF2-40B4-BE49-F238E27FC236}">
              <a16:creationId xmlns:a16="http://schemas.microsoft.com/office/drawing/2014/main" id="{BBFDA4C3-C0DC-403C-96C7-A7FD1101C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174626</xdr:colOff>
      <xdr:row>27</xdr:row>
      <xdr:rowOff>69268</xdr:rowOff>
    </xdr:from>
    <xdr:to>
      <xdr:col>23</xdr:col>
      <xdr:colOff>285752</xdr:colOff>
      <xdr:row>44</xdr:row>
      <xdr:rowOff>129306</xdr:rowOff>
    </xdr:to>
    <xdr:graphicFrame macro="">
      <xdr:nvGraphicFramePr>
        <xdr:cNvPr id="9" name="Chart 8">
          <a:extLst>
            <a:ext uri="{FF2B5EF4-FFF2-40B4-BE49-F238E27FC236}">
              <a16:creationId xmlns:a16="http://schemas.microsoft.com/office/drawing/2014/main" id="{A6FFF4B3-DFE5-4DAE-9FBB-3D701B7A0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412750</xdr:colOff>
      <xdr:row>25</xdr:row>
      <xdr:rowOff>100498</xdr:rowOff>
    </xdr:from>
    <xdr:to>
      <xdr:col>8</xdr:col>
      <xdr:colOff>301625</xdr:colOff>
      <xdr:row>29</xdr:row>
      <xdr:rowOff>15875</xdr:rowOff>
    </xdr:to>
    <xdr:sp macro="" textlink="">
      <xdr:nvSpPr>
        <xdr:cNvPr id="10" name="TextBox 9">
          <a:extLst>
            <a:ext uri="{FF2B5EF4-FFF2-40B4-BE49-F238E27FC236}">
              <a16:creationId xmlns:a16="http://schemas.microsoft.com/office/drawing/2014/main" id="{E9037100-0145-4283-8FD3-1947663C748A}"/>
            </a:ext>
          </a:extLst>
        </xdr:cNvPr>
        <xdr:cNvSpPr txBox="1"/>
      </xdr:nvSpPr>
      <xdr:spPr>
        <a:xfrm>
          <a:off x="1012825" y="4862998"/>
          <a:ext cx="3689350" cy="677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Times New Roman" panose="02020603050405020304" pitchFamily="18" charset="0"/>
              <a:cs typeface="Times New Roman" panose="02020603050405020304" pitchFamily="18" charset="0"/>
            </a:rPr>
            <a:t>2.</a:t>
          </a:r>
          <a:r>
            <a:rPr lang="en-US" sz="2000">
              <a:latin typeface="Arial" panose="020B0604020202020204" pitchFamily="34" charset="0"/>
              <a:cs typeface="Arial" panose="020B0604020202020204" pitchFamily="34" charset="0"/>
            </a:rPr>
            <a:t> Fiscal restraint only</a:t>
          </a:r>
        </a:p>
      </xdr:txBody>
    </xdr:sp>
    <xdr:clientData/>
  </xdr:twoCellAnchor>
  <xdr:twoCellAnchor>
    <xdr:from>
      <xdr:col>1</xdr:col>
      <xdr:colOff>469694</xdr:colOff>
      <xdr:row>45</xdr:row>
      <xdr:rowOff>43294</xdr:rowOff>
    </xdr:from>
    <xdr:to>
      <xdr:col>11</xdr:col>
      <xdr:colOff>222250</xdr:colOff>
      <xdr:row>49</xdr:row>
      <xdr:rowOff>-1</xdr:rowOff>
    </xdr:to>
    <xdr:sp macro="" textlink="">
      <xdr:nvSpPr>
        <xdr:cNvPr id="11" name="TextBox 10">
          <a:extLst>
            <a:ext uri="{FF2B5EF4-FFF2-40B4-BE49-F238E27FC236}">
              <a16:creationId xmlns:a16="http://schemas.microsoft.com/office/drawing/2014/main" id="{E2B9475D-460E-4677-88E5-CB37C1068D7F}"/>
            </a:ext>
          </a:extLst>
        </xdr:cNvPr>
        <xdr:cNvSpPr txBox="1"/>
      </xdr:nvSpPr>
      <xdr:spPr>
        <a:xfrm>
          <a:off x="1069769" y="8615794"/>
          <a:ext cx="5353256" cy="718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Times New Roman" panose="02020603050405020304" pitchFamily="18" charset="0"/>
              <a:cs typeface="Times New Roman" panose="02020603050405020304" pitchFamily="18" charset="0"/>
            </a:rPr>
            <a:t>3.</a:t>
          </a:r>
          <a:r>
            <a:rPr lang="en-US" sz="2000">
              <a:latin typeface="Arial" panose="020B0604020202020204" pitchFamily="34" charset="0"/>
              <a:cs typeface="Arial" panose="020B0604020202020204" pitchFamily="34" charset="0"/>
            </a:rPr>
            <a:t> Fiscal restraint with targeted transfers</a:t>
          </a:r>
        </a:p>
      </xdr:txBody>
    </xdr:sp>
    <xdr:clientData/>
  </xdr:twoCellAnchor>
  <xdr:twoCellAnchor>
    <xdr:from>
      <xdr:col>1</xdr:col>
      <xdr:colOff>412091</xdr:colOff>
      <xdr:row>5</xdr:row>
      <xdr:rowOff>170187</xdr:rowOff>
    </xdr:from>
    <xdr:to>
      <xdr:col>8</xdr:col>
      <xdr:colOff>206375</xdr:colOff>
      <xdr:row>8</xdr:row>
      <xdr:rowOff>111124</xdr:rowOff>
    </xdr:to>
    <xdr:sp macro="" textlink="">
      <xdr:nvSpPr>
        <xdr:cNvPr id="12" name="TextBox 11">
          <a:extLst>
            <a:ext uri="{FF2B5EF4-FFF2-40B4-BE49-F238E27FC236}">
              <a16:creationId xmlns:a16="http://schemas.microsoft.com/office/drawing/2014/main" id="{8FAFF832-6CA7-4BF9-9CF9-A445E01BEE37}"/>
            </a:ext>
          </a:extLst>
        </xdr:cNvPr>
        <xdr:cNvSpPr txBox="1"/>
      </xdr:nvSpPr>
      <xdr:spPr>
        <a:xfrm>
          <a:off x="1012166" y="1122687"/>
          <a:ext cx="3594759" cy="51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Times New Roman" panose="02020603050405020304" pitchFamily="18" charset="0"/>
              <a:cs typeface="Times New Roman" panose="02020603050405020304" pitchFamily="18" charset="0"/>
            </a:rPr>
            <a:t>1.</a:t>
          </a:r>
          <a:r>
            <a:rPr lang="en-US" sz="2000">
              <a:latin typeface="Arial" panose="020B0604020202020204" pitchFamily="34" charset="0"/>
              <a:cs typeface="Arial" panose="020B0604020202020204" pitchFamily="34" charset="0"/>
            </a:rPr>
            <a:t> Monetary tightening</a:t>
          </a:r>
        </a:p>
      </xdr:txBody>
    </xdr:sp>
    <xdr:clientData/>
  </xdr:twoCellAnchor>
  <xdr:twoCellAnchor>
    <xdr:from>
      <xdr:col>1</xdr:col>
      <xdr:colOff>365125</xdr:colOff>
      <xdr:row>47</xdr:row>
      <xdr:rowOff>11545</xdr:rowOff>
    </xdr:from>
    <xdr:to>
      <xdr:col>8</xdr:col>
      <xdr:colOff>397809</xdr:colOff>
      <xdr:row>64</xdr:row>
      <xdr:rowOff>136730</xdr:rowOff>
    </xdr:to>
    <xdr:graphicFrame macro="">
      <xdr:nvGraphicFramePr>
        <xdr:cNvPr id="13" name="Chart 12">
          <a:extLst>
            <a:ext uri="{FF2B5EF4-FFF2-40B4-BE49-F238E27FC236}">
              <a16:creationId xmlns:a16="http://schemas.microsoft.com/office/drawing/2014/main" id="{60908DB0-5381-43A5-9807-7813B356E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339147</xdr:colOff>
      <xdr:row>63</xdr:row>
      <xdr:rowOff>189057</xdr:rowOff>
    </xdr:from>
    <xdr:to>
      <xdr:col>8</xdr:col>
      <xdr:colOff>142875</xdr:colOff>
      <xdr:row>66</xdr:row>
      <xdr:rowOff>21650</xdr:rowOff>
    </xdr:to>
    <xdr:sp macro="" textlink="">
      <xdr:nvSpPr>
        <xdr:cNvPr id="14" name="TextBox 13">
          <a:extLst>
            <a:ext uri="{FF2B5EF4-FFF2-40B4-BE49-F238E27FC236}">
              <a16:creationId xmlns:a16="http://schemas.microsoft.com/office/drawing/2014/main" id="{340B138B-0C77-4D8D-8597-A210DC9BF613}"/>
            </a:ext>
          </a:extLst>
        </xdr:cNvPr>
        <xdr:cNvSpPr txBox="1"/>
      </xdr:nvSpPr>
      <xdr:spPr>
        <a:xfrm>
          <a:off x="2339397" y="12190557"/>
          <a:ext cx="2204028" cy="404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Arial" panose="020B0604020202020204" pitchFamily="34" charset="0"/>
              <a:cs typeface="Arial" panose="020B0604020202020204" pitchFamily="34" charset="0"/>
            </a:rPr>
            <a:t>Quarter</a:t>
          </a:r>
          <a:r>
            <a:rPr lang="en-US" sz="1800" baseline="0">
              <a:latin typeface="Arial" panose="020B0604020202020204" pitchFamily="34" charset="0"/>
              <a:cs typeface="Arial" panose="020B0604020202020204" pitchFamily="34" charset="0"/>
            </a:rPr>
            <a:t> after shock</a:t>
          </a:r>
          <a:endParaRPr lang="en-US" sz="1800">
            <a:latin typeface="Arial" panose="020B0604020202020204" pitchFamily="34" charset="0"/>
            <a:cs typeface="Arial" panose="020B0604020202020204" pitchFamily="34" charset="0"/>
          </a:endParaRPr>
        </a:p>
      </xdr:txBody>
    </xdr:sp>
    <xdr:clientData/>
  </xdr:twoCellAnchor>
  <xdr:twoCellAnchor>
    <xdr:from>
      <xdr:col>18</xdr:col>
      <xdr:colOff>559376</xdr:colOff>
      <xdr:row>64</xdr:row>
      <xdr:rowOff>2433</xdr:rowOff>
    </xdr:from>
    <xdr:to>
      <xdr:col>22</xdr:col>
      <xdr:colOff>354446</xdr:colOff>
      <xdr:row>66</xdr:row>
      <xdr:rowOff>12415</xdr:rowOff>
    </xdr:to>
    <xdr:sp macro="" textlink="">
      <xdr:nvSpPr>
        <xdr:cNvPr id="15" name="TextBox 14">
          <a:extLst>
            <a:ext uri="{FF2B5EF4-FFF2-40B4-BE49-F238E27FC236}">
              <a16:creationId xmlns:a16="http://schemas.microsoft.com/office/drawing/2014/main" id="{48C66092-A1C8-4DA8-A1D9-3F81BA8B6429}"/>
            </a:ext>
          </a:extLst>
        </xdr:cNvPr>
        <xdr:cNvSpPr txBox="1"/>
      </xdr:nvSpPr>
      <xdr:spPr>
        <a:xfrm>
          <a:off x="10941626" y="12194433"/>
          <a:ext cx="2195370" cy="390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Arial" panose="020B0604020202020204" pitchFamily="34" charset="0"/>
              <a:cs typeface="Arial" panose="020B0604020202020204" pitchFamily="34" charset="0"/>
            </a:rPr>
            <a:t>Quarter</a:t>
          </a:r>
          <a:r>
            <a:rPr lang="en-US" sz="1800" baseline="0">
              <a:latin typeface="Arial" panose="020B0604020202020204" pitchFamily="34" charset="0"/>
              <a:cs typeface="Arial" panose="020B0604020202020204" pitchFamily="34" charset="0"/>
            </a:rPr>
            <a:t> after shock</a:t>
          </a:r>
          <a:endParaRPr lang="en-US" sz="1800">
            <a:latin typeface="Arial" panose="020B0604020202020204" pitchFamily="34" charset="0"/>
            <a:cs typeface="Arial" panose="020B0604020202020204" pitchFamily="34" charset="0"/>
          </a:endParaRPr>
        </a:p>
      </xdr:txBody>
    </xdr:sp>
    <xdr:clientData/>
  </xdr:twoCellAnchor>
  <xdr:twoCellAnchor>
    <xdr:from>
      <xdr:col>8</xdr:col>
      <xdr:colOff>498663</xdr:colOff>
      <xdr:row>47</xdr:row>
      <xdr:rowOff>33758</xdr:rowOff>
    </xdr:from>
    <xdr:to>
      <xdr:col>15</xdr:col>
      <xdr:colOff>508001</xdr:colOff>
      <xdr:row>64</xdr:row>
      <xdr:rowOff>99567</xdr:rowOff>
    </xdr:to>
    <xdr:graphicFrame macro="">
      <xdr:nvGraphicFramePr>
        <xdr:cNvPr id="16" name="Chart 15">
          <a:extLst>
            <a:ext uri="{FF2B5EF4-FFF2-40B4-BE49-F238E27FC236}">
              <a16:creationId xmlns:a16="http://schemas.microsoft.com/office/drawing/2014/main" id="{C60BA723-5C52-4339-93AD-07C3FBB4D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107156</xdr:colOff>
      <xdr:row>67</xdr:row>
      <xdr:rowOff>119060</xdr:rowOff>
    </xdr:from>
    <xdr:to>
      <xdr:col>20</xdr:col>
      <xdr:colOff>404812</xdr:colOff>
      <xdr:row>73</xdr:row>
      <xdr:rowOff>178591</xdr:rowOff>
    </xdr:to>
    <xdr:sp macro="" textlink="">
      <xdr:nvSpPr>
        <xdr:cNvPr id="17" name="TextBox 16">
          <a:extLst>
            <a:ext uri="{FF2B5EF4-FFF2-40B4-BE49-F238E27FC236}">
              <a16:creationId xmlns:a16="http://schemas.microsoft.com/office/drawing/2014/main" id="{2B3ADC74-C27E-49E9-85DD-6B367FE09322}"/>
            </a:ext>
          </a:extLst>
        </xdr:cNvPr>
        <xdr:cNvSpPr txBox="1"/>
      </xdr:nvSpPr>
      <xdr:spPr>
        <a:xfrm>
          <a:off x="1307306" y="12882560"/>
          <a:ext cx="10679906" cy="12025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dk1"/>
              </a:solidFill>
              <a:effectLst/>
              <a:latin typeface="Arial" panose="020B0604020202020204" pitchFamily="34" charset="0"/>
              <a:ea typeface="+mn-ea"/>
              <a:cs typeface="Arial" panose="020B0604020202020204" pitchFamily="34" charset="0"/>
            </a:rPr>
            <a:t>Source: IMF staff calculations based on the model calibration in Auclert and others (2021).</a:t>
          </a:r>
        </a:p>
        <a:p>
          <a:r>
            <a:rPr lang="en-US" sz="1800">
              <a:solidFill>
                <a:schemeClr val="dk1"/>
              </a:solidFill>
              <a:effectLst/>
              <a:latin typeface="Arial" panose="020B0604020202020204" pitchFamily="34" charset="0"/>
              <a:ea typeface="+mn-ea"/>
              <a:cs typeface="Arial" panose="020B0604020202020204" pitchFamily="34" charset="0"/>
            </a:rPr>
            <a:t>Note: See Online Annex 2.4 for details. HANK = Heterogeneous-Agent New Keynesian.</a:t>
          </a:r>
          <a:endParaRPr lang="en-US" sz="1800">
            <a:latin typeface="Arial" panose="020B0604020202020204" pitchFamily="34" charset="0"/>
            <a:cs typeface="Arial" panose="020B0604020202020204" pitchFamily="34" charset="0"/>
          </a:endParaRPr>
        </a:p>
      </xdr:txBody>
    </xdr:sp>
    <xdr:clientData/>
  </xdr:twoCellAnchor>
  <xdr:twoCellAnchor>
    <xdr:from>
      <xdr:col>1</xdr:col>
      <xdr:colOff>464344</xdr:colOff>
      <xdr:row>1</xdr:row>
      <xdr:rowOff>175512</xdr:rowOff>
    </xdr:from>
    <xdr:to>
      <xdr:col>8</xdr:col>
      <xdr:colOff>474069</xdr:colOff>
      <xdr:row>9</xdr:row>
      <xdr:rowOff>805</xdr:rowOff>
    </xdr:to>
    <xdr:sp macro="" textlink="">
      <xdr:nvSpPr>
        <xdr:cNvPr id="18" name="TextBox 17">
          <a:extLst>
            <a:ext uri="{FF2B5EF4-FFF2-40B4-BE49-F238E27FC236}">
              <a16:creationId xmlns:a16="http://schemas.microsoft.com/office/drawing/2014/main" id="{BDD2E639-5A3C-4F93-B366-538C4C817113}"/>
            </a:ext>
          </a:extLst>
        </xdr:cNvPr>
        <xdr:cNvSpPr txBox="1"/>
      </xdr:nvSpPr>
      <xdr:spPr>
        <a:xfrm>
          <a:off x="1064419" y="366012"/>
          <a:ext cx="3810200" cy="1349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Arial" panose="020B0604020202020204" pitchFamily="34" charset="0"/>
              <a:cs typeface="Arial" panose="020B0604020202020204" pitchFamily="34" charset="0"/>
            </a:rPr>
            <a:t>Variation in Interest Rates</a:t>
          </a:r>
        </a:p>
        <a:p>
          <a:pPr marL="0" marR="0" lvl="0" indent="0" defTabSz="914400" eaLnBrk="1" fontAlgn="auto" latinLnBrk="0" hangingPunct="1">
            <a:lnSpc>
              <a:spcPct val="100000"/>
            </a:lnSpc>
            <a:spcBef>
              <a:spcPts val="0"/>
            </a:spcBef>
            <a:spcAft>
              <a:spcPts val="0"/>
            </a:spcAft>
            <a:buClrTx/>
            <a:buSzTx/>
            <a:buFontTx/>
            <a:buNone/>
            <a:tabLst/>
            <a:defRPr/>
          </a:pPr>
          <a:r>
            <a:rPr lang="en-US" sz="1800" b="0">
              <a:solidFill>
                <a:schemeClr val="dk1"/>
              </a:solidFill>
              <a:effectLst/>
              <a:latin typeface="Arial" panose="020B0604020202020204" pitchFamily="34" charset="0"/>
              <a:ea typeface="+mn-ea"/>
              <a:cs typeface="Arial" panose="020B0604020202020204" pitchFamily="34" charset="0"/>
            </a:rPr>
            <a:t>(Percentage points</a:t>
          </a:r>
          <a:r>
            <a:rPr lang="en-US" sz="1800" b="0" baseline="0">
              <a:solidFill>
                <a:schemeClr val="dk1"/>
              </a:solidFill>
              <a:effectLst/>
              <a:latin typeface="Arial" panose="020B0604020202020204" pitchFamily="34" charset="0"/>
              <a:ea typeface="+mn-ea"/>
              <a:cs typeface="Arial" panose="020B0604020202020204" pitchFamily="34" charset="0"/>
            </a:rPr>
            <a:t>)</a:t>
          </a:r>
          <a:endParaRPr lang="en-US" sz="1800" b="0">
            <a:effectLst/>
            <a:latin typeface="Arial" panose="020B0604020202020204" pitchFamily="34" charset="0"/>
            <a:cs typeface="Arial" panose="020B0604020202020204" pitchFamily="34" charset="0"/>
          </a:endParaRPr>
        </a:p>
      </xdr:txBody>
    </xdr:sp>
    <xdr:clientData/>
  </xdr:twoCellAnchor>
  <xdr:twoCellAnchor>
    <xdr:from>
      <xdr:col>8</xdr:col>
      <xdr:colOff>564301</xdr:colOff>
      <xdr:row>1</xdr:row>
      <xdr:rowOff>163563</xdr:rowOff>
    </xdr:from>
    <xdr:to>
      <xdr:col>16</xdr:col>
      <xdr:colOff>75752</xdr:colOff>
      <xdr:row>10</xdr:row>
      <xdr:rowOff>35443</xdr:rowOff>
    </xdr:to>
    <xdr:sp macro="" textlink="">
      <xdr:nvSpPr>
        <xdr:cNvPr id="19" name="TextBox 18">
          <a:extLst>
            <a:ext uri="{FF2B5EF4-FFF2-40B4-BE49-F238E27FC236}">
              <a16:creationId xmlns:a16="http://schemas.microsoft.com/office/drawing/2014/main" id="{F24399C2-4B63-4025-B24A-B45554682399}"/>
            </a:ext>
          </a:extLst>
        </xdr:cNvPr>
        <xdr:cNvSpPr txBox="1"/>
      </xdr:nvSpPr>
      <xdr:spPr>
        <a:xfrm>
          <a:off x="4964851" y="354063"/>
          <a:ext cx="4293001" cy="1586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latin typeface="Arial" panose="020B0604020202020204" pitchFamily="34" charset="0"/>
              <a:cs typeface="Arial" panose="020B0604020202020204" pitchFamily="34" charset="0"/>
            </a:rPr>
            <a:t>Impact</a:t>
          </a:r>
          <a:r>
            <a:rPr lang="en-US" sz="2000" b="1" baseline="0">
              <a:latin typeface="Arial" panose="020B0604020202020204" pitchFamily="34" charset="0"/>
              <a:cs typeface="Arial" panose="020B0604020202020204" pitchFamily="34" charset="0"/>
            </a:rPr>
            <a:t> on Inflation, Consumption, and Output</a:t>
          </a:r>
        </a:p>
        <a:p>
          <a:pPr marL="0" marR="0" lvl="0" indent="0" algn="l" defTabSz="914400" eaLnBrk="1" fontAlgn="auto" latinLnBrk="0" hangingPunct="1">
            <a:lnSpc>
              <a:spcPct val="100000"/>
            </a:lnSpc>
            <a:spcBef>
              <a:spcPts val="0"/>
            </a:spcBef>
            <a:spcAft>
              <a:spcPts val="0"/>
            </a:spcAft>
            <a:buClrTx/>
            <a:buSzTx/>
            <a:buFontTx/>
            <a:buNone/>
            <a:tabLst/>
            <a:defRPr/>
          </a:pPr>
          <a:r>
            <a:rPr lang="en-US" sz="1800" b="0" baseline="0">
              <a:solidFill>
                <a:schemeClr val="dk1"/>
              </a:solidFill>
              <a:latin typeface="Arial" panose="020B0604020202020204" pitchFamily="34" charset="0"/>
              <a:ea typeface="+mn-ea"/>
              <a:cs typeface="Arial" panose="020B0604020202020204" pitchFamily="34" charset="0"/>
            </a:rPr>
            <a:t>(Percent, unless stated otherwise</a:t>
          </a:r>
          <a:r>
            <a:rPr lang="en-US" sz="1800" b="0" baseline="0">
              <a:solidFill>
                <a:schemeClr val="dk1"/>
              </a:solidFill>
              <a:effectLst/>
              <a:latin typeface="Arial" panose="020B0604020202020204" pitchFamily="34" charset="0"/>
              <a:ea typeface="+mn-ea"/>
              <a:cs typeface="Arial" panose="020B0604020202020204" pitchFamily="34" charset="0"/>
            </a:rPr>
            <a:t>)</a:t>
          </a:r>
          <a:endParaRPr lang="en-US" sz="1800" b="0">
            <a:effectLst/>
            <a:latin typeface="Arial" panose="020B0604020202020204" pitchFamily="34" charset="0"/>
            <a:cs typeface="Arial" panose="020B0604020202020204" pitchFamily="34" charset="0"/>
          </a:endParaRPr>
        </a:p>
      </xdr:txBody>
    </xdr:sp>
    <xdr:clientData/>
  </xdr:twoCellAnchor>
  <xdr:twoCellAnchor>
    <xdr:from>
      <xdr:col>16</xdr:col>
      <xdr:colOff>225486</xdr:colOff>
      <xdr:row>1</xdr:row>
      <xdr:rowOff>154780</xdr:rowOff>
    </xdr:from>
    <xdr:to>
      <xdr:col>22</xdr:col>
      <xdr:colOff>327758</xdr:colOff>
      <xdr:row>9</xdr:row>
      <xdr:rowOff>35442</xdr:rowOff>
    </xdr:to>
    <xdr:sp macro="" textlink="">
      <xdr:nvSpPr>
        <xdr:cNvPr id="20" name="TextBox 19">
          <a:extLst>
            <a:ext uri="{FF2B5EF4-FFF2-40B4-BE49-F238E27FC236}">
              <a16:creationId xmlns:a16="http://schemas.microsoft.com/office/drawing/2014/main" id="{9A119F88-4B3E-4034-9D5D-C86457E7FF7D}"/>
            </a:ext>
          </a:extLst>
        </xdr:cNvPr>
        <xdr:cNvSpPr txBox="1"/>
      </xdr:nvSpPr>
      <xdr:spPr>
        <a:xfrm>
          <a:off x="9407586" y="345280"/>
          <a:ext cx="3702722" cy="1404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latin typeface="Arial" panose="020B0604020202020204" pitchFamily="34" charset="0"/>
              <a:cs typeface="Arial" panose="020B0604020202020204" pitchFamily="34" charset="0"/>
            </a:rPr>
            <a:t>Consumption by Income Bracket Percentile</a:t>
          </a:r>
        </a:p>
        <a:p>
          <a:pPr algn="l"/>
          <a:r>
            <a:rPr lang="en-US" sz="1800" b="0">
              <a:latin typeface="Arial" panose="020B0604020202020204" pitchFamily="34" charset="0"/>
              <a:cs typeface="Arial" panose="020B0604020202020204" pitchFamily="34" charset="0"/>
            </a:rPr>
            <a:t>(Percent)</a:t>
          </a:r>
        </a:p>
      </xdr:txBody>
    </xdr:sp>
    <xdr:clientData/>
  </xdr:twoCellAnchor>
  <xdr:twoCellAnchor editAs="oneCell">
    <xdr:from>
      <xdr:col>24</xdr:col>
      <xdr:colOff>476249</xdr:colOff>
      <xdr:row>57</xdr:row>
      <xdr:rowOff>83343</xdr:rowOff>
    </xdr:from>
    <xdr:to>
      <xdr:col>41</xdr:col>
      <xdr:colOff>558217</xdr:colOff>
      <xdr:row>108</xdr:row>
      <xdr:rowOff>117920</xdr:rowOff>
    </xdr:to>
    <xdr:pic>
      <xdr:nvPicPr>
        <xdr:cNvPr id="21" name="Picture 20">
          <a:extLst>
            <a:ext uri="{FF2B5EF4-FFF2-40B4-BE49-F238E27FC236}">
              <a16:creationId xmlns:a16="http://schemas.microsoft.com/office/drawing/2014/main" id="{4F94F44E-6992-42C1-AA1D-E45ABFBAD686}"/>
            </a:ext>
          </a:extLst>
        </xdr:cNvPr>
        <xdr:cNvPicPr>
          <a:picLocks noChangeAspect="1"/>
        </xdr:cNvPicPr>
      </xdr:nvPicPr>
      <xdr:blipFill>
        <a:blip xmlns:r="http://schemas.openxmlformats.org/officeDocument/2006/relationships" r:embed="rId10"/>
        <a:stretch>
          <a:fillRect/>
        </a:stretch>
      </xdr:blipFill>
      <xdr:spPr>
        <a:xfrm>
          <a:off x="14458949" y="10941843"/>
          <a:ext cx="10292768" cy="975007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278948</xdr:colOff>
      <xdr:row>4</xdr:row>
      <xdr:rowOff>54438</xdr:rowOff>
    </xdr:from>
    <xdr:to>
      <xdr:col>6</xdr:col>
      <xdr:colOff>2451</xdr:colOff>
      <xdr:row>26</xdr:row>
      <xdr:rowOff>119752</xdr:rowOff>
    </xdr:to>
    <xdr:graphicFrame macro="">
      <xdr:nvGraphicFramePr>
        <xdr:cNvPr id="2" name="Chart 1">
          <a:extLst>
            <a:ext uri="{FF2B5EF4-FFF2-40B4-BE49-F238E27FC236}">
              <a16:creationId xmlns:a16="http://schemas.microsoft.com/office/drawing/2014/main" id="{B25900F2-8F43-454E-8F6A-5E5605F25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265334</xdr:colOff>
      <xdr:row>4</xdr:row>
      <xdr:rowOff>61241</xdr:rowOff>
    </xdr:from>
    <xdr:to>
      <xdr:col>14</xdr:col>
      <xdr:colOff>606057</xdr:colOff>
      <xdr:row>26</xdr:row>
      <xdr:rowOff>126555</xdr:rowOff>
    </xdr:to>
    <xdr:graphicFrame macro="">
      <xdr:nvGraphicFramePr>
        <xdr:cNvPr id="3" name="Chart 2">
          <a:extLst>
            <a:ext uri="{FF2B5EF4-FFF2-40B4-BE49-F238E27FC236}">
              <a16:creationId xmlns:a16="http://schemas.microsoft.com/office/drawing/2014/main" id="{793D669B-DFFA-448D-9BDF-8D79E8EC0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646336</xdr:colOff>
      <xdr:row>4</xdr:row>
      <xdr:rowOff>61242</xdr:rowOff>
    </xdr:from>
    <xdr:to>
      <xdr:col>10</xdr:col>
      <xdr:colOff>340720</xdr:colOff>
      <xdr:row>26</xdr:row>
      <xdr:rowOff>126556</xdr:rowOff>
    </xdr:to>
    <xdr:graphicFrame macro="">
      <xdr:nvGraphicFramePr>
        <xdr:cNvPr id="4" name="Chart 3">
          <a:extLst>
            <a:ext uri="{FF2B5EF4-FFF2-40B4-BE49-F238E27FC236}">
              <a16:creationId xmlns:a16="http://schemas.microsoft.com/office/drawing/2014/main" id="{9976F947-B1E1-4833-9796-B1BAD8DA5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523871</xdr:colOff>
      <xdr:row>4</xdr:row>
      <xdr:rowOff>61240</xdr:rowOff>
    </xdr:from>
    <xdr:to>
      <xdr:col>19</xdr:col>
      <xdr:colOff>218254</xdr:colOff>
      <xdr:row>26</xdr:row>
      <xdr:rowOff>126554</xdr:rowOff>
    </xdr:to>
    <xdr:graphicFrame macro="">
      <xdr:nvGraphicFramePr>
        <xdr:cNvPr id="5" name="Chart 4">
          <a:extLst>
            <a:ext uri="{FF2B5EF4-FFF2-40B4-BE49-F238E27FC236}">
              <a16:creationId xmlns:a16="http://schemas.microsoft.com/office/drawing/2014/main" id="{B55B0AEB-FEA2-4550-BAB7-224A8B9B8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399944</xdr:colOff>
      <xdr:row>3</xdr:row>
      <xdr:rowOff>42823</xdr:rowOff>
    </xdr:from>
    <xdr:to>
      <xdr:col>5</xdr:col>
      <xdr:colOff>415471</xdr:colOff>
      <xdr:row>5</xdr:row>
      <xdr:rowOff>43543</xdr:rowOff>
    </xdr:to>
    <xdr:sp macro="" textlink="">
      <xdr:nvSpPr>
        <xdr:cNvPr id="6" name="TextBox 5">
          <a:extLst>
            <a:ext uri="{FF2B5EF4-FFF2-40B4-BE49-F238E27FC236}">
              <a16:creationId xmlns:a16="http://schemas.microsoft.com/office/drawing/2014/main" id="{A403F2DA-0836-49CE-BBE8-0FA1C5D474D2}"/>
            </a:ext>
          </a:extLst>
        </xdr:cNvPr>
        <xdr:cNvSpPr txBox="1"/>
      </xdr:nvSpPr>
      <xdr:spPr>
        <a:xfrm>
          <a:off x="1619144" y="528598"/>
          <a:ext cx="1844327" cy="32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1. Private Wages</a:t>
          </a:r>
        </a:p>
      </xdr:txBody>
    </xdr:sp>
    <xdr:clientData/>
  </xdr:twoCellAnchor>
  <xdr:twoCellAnchor>
    <xdr:from>
      <xdr:col>7</xdr:col>
      <xdr:colOff>119961</xdr:colOff>
      <xdr:row>3</xdr:row>
      <xdr:rowOff>45671</xdr:rowOff>
    </xdr:from>
    <xdr:to>
      <xdr:col>10</xdr:col>
      <xdr:colOff>60090</xdr:colOff>
      <xdr:row>5</xdr:row>
      <xdr:rowOff>67442</xdr:rowOff>
    </xdr:to>
    <xdr:sp macro="" textlink="">
      <xdr:nvSpPr>
        <xdr:cNvPr id="7" name="TextBox 6">
          <a:extLst>
            <a:ext uri="{FF2B5EF4-FFF2-40B4-BE49-F238E27FC236}">
              <a16:creationId xmlns:a16="http://schemas.microsoft.com/office/drawing/2014/main" id="{0717B4D3-009D-4CB7-A23E-A6A5242EC896}"/>
            </a:ext>
          </a:extLst>
        </xdr:cNvPr>
        <xdr:cNvSpPr txBox="1"/>
      </xdr:nvSpPr>
      <xdr:spPr>
        <a:xfrm>
          <a:off x="4387161" y="531446"/>
          <a:ext cx="1768929" cy="345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2. Private Wages</a:t>
          </a:r>
        </a:p>
      </xdr:txBody>
    </xdr:sp>
    <xdr:clientData/>
  </xdr:twoCellAnchor>
  <xdr:twoCellAnchor>
    <xdr:from>
      <xdr:col>11</xdr:col>
      <xdr:colOff>306544</xdr:colOff>
      <xdr:row>3</xdr:row>
      <xdr:rowOff>49581</xdr:rowOff>
    </xdr:from>
    <xdr:to>
      <xdr:col>14</xdr:col>
      <xdr:colOff>514741</xdr:colOff>
      <xdr:row>4</xdr:row>
      <xdr:rowOff>150273</xdr:rowOff>
    </xdr:to>
    <xdr:sp macro="" textlink="">
      <xdr:nvSpPr>
        <xdr:cNvPr id="8" name="TextBox 7">
          <a:extLst>
            <a:ext uri="{FF2B5EF4-FFF2-40B4-BE49-F238E27FC236}">
              <a16:creationId xmlns:a16="http://schemas.microsoft.com/office/drawing/2014/main" id="{D6B4359A-2F8C-482D-A70A-D0E21176E6B0}"/>
            </a:ext>
          </a:extLst>
        </xdr:cNvPr>
        <xdr:cNvSpPr txBox="1"/>
      </xdr:nvSpPr>
      <xdr:spPr>
        <a:xfrm>
          <a:off x="7012144" y="535356"/>
          <a:ext cx="2036997" cy="26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3. Consumer</a:t>
          </a:r>
          <a:r>
            <a:rPr lang="en-US" sz="1600" baseline="0">
              <a:solidFill>
                <a:sysClr val="windowText" lastClr="000000"/>
              </a:solidFill>
              <a:latin typeface="Arial" panose="020B0604020202020204" pitchFamily="34" charset="0"/>
              <a:cs typeface="Arial" panose="020B0604020202020204" pitchFamily="34" charset="0"/>
            </a:rPr>
            <a:t> Prices</a:t>
          </a:r>
          <a:endParaRPr lang="en-US" sz="1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15</xdr:col>
      <xdr:colOff>562789</xdr:colOff>
      <xdr:row>3</xdr:row>
      <xdr:rowOff>56293</xdr:rowOff>
    </xdr:from>
    <xdr:to>
      <xdr:col>19</xdr:col>
      <xdr:colOff>181530</xdr:colOff>
      <xdr:row>5</xdr:row>
      <xdr:rowOff>124247</xdr:rowOff>
    </xdr:to>
    <xdr:sp macro="" textlink="">
      <xdr:nvSpPr>
        <xdr:cNvPr id="9" name="TextBox 8">
          <a:extLst>
            <a:ext uri="{FF2B5EF4-FFF2-40B4-BE49-F238E27FC236}">
              <a16:creationId xmlns:a16="http://schemas.microsoft.com/office/drawing/2014/main" id="{810F2B03-3A6E-4E4B-A84A-AB1B7FBF9FC3}"/>
            </a:ext>
          </a:extLst>
        </xdr:cNvPr>
        <xdr:cNvSpPr txBox="1"/>
      </xdr:nvSpPr>
      <xdr:spPr>
        <a:xfrm>
          <a:off x="9706789" y="542068"/>
          <a:ext cx="2057141" cy="391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4. Consumer</a:t>
          </a:r>
          <a:r>
            <a:rPr lang="en-US" sz="1600" baseline="0">
              <a:solidFill>
                <a:sysClr val="windowText" lastClr="000000"/>
              </a:solidFill>
              <a:latin typeface="Arial" panose="020B0604020202020204" pitchFamily="34" charset="0"/>
              <a:cs typeface="Arial" panose="020B0604020202020204" pitchFamily="34" charset="0"/>
            </a:rPr>
            <a:t> Prices</a:t>
          </a:r>
          <a:endParaRPr lang="en-US" sz="1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131989</xdr:colOff>
      <xdr:row>26</xdr:row>
      <xdr:rowOff>16330</xdr:rowOff>
    </xdr:from>
    <xdr:to>
      <xdr:col>4</xdr:col>
      <xdr:colOff>638735</xdr:colOff>
      <xdr:row>28</xdr:row>
      <xdr:rowOff>10886</xdr:rowOff>
    </xdr:to>
    <xdr:sp macro="" textlink="">
      <xdr:nvSpPr>
        <xdr:cNvPr id="10" name="TextBox 9">
          <a:extLst>
            <a:ext uri="{FF2B5EF4-FFF2-40B4-BE49-F238E27FC236}">
              <a16:creationId xmlns:a16="http://schemas.microsoft.com/office/drawing/2014/main" id="{6C2A5D31-9849-4B23-B6E1-2290FB25254E}"/>
            </a:ext>
          </a:extLst>
        </xdr:cNvPr>
        <xdr:cNvSpPr txBox="1"/>
      </xdr:nvSpPr>
      <xdr:spPr>
        <a:xfrm>
          <a:off x="1960789" y="4226380"/>
          <a:ext cx="1087771" cy="318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Quarters</a:t>
          </a:r>
        </a:p>
      </xdr:txBody>
    </xdr:sp>
    <xdr:clientData/>
  </xdr:twoCellAnchor>
  <xdr:twoCellAnchor>
    <xdr:from>
      <xdr:col>12</xdr:col>
      <xdr:colOff>300558</xdr:colOff>
      <xdr:row>26</xdr:row>
      <xdr:rowOff>27214</xdr:rowOff>
    </xdr:from>
    <xdr:to>
      <xdr:col>14</xdr:col>
      <xdr:colOff>196103</xdr:colOff>
      <xdr:row>28</xdr:row>
      <xdr:rowOff>0</xdr:rowOff>
    </xdr:to>
    <xdr:sp macro="" textlink="">
      <xdr:nvSpPr>
        <xdr:cNvPr id="11" name="TextBox 10">
          <a:extLst>
            <a:ext uri="{FF2B5EF4-FFF2-40B4-BE49-F238E27FC236}">
              <a16:creationId xmlns:a16="http://schemas.microsoft.com/office/drawing/2014/main" id="{0C5981ED-A0F7-45C8-97D5-71969D778587}"/>
            </a:ext>
          </a:extLst>
        </xdr:cNvPr>
        <xdr:cNvSpPr txBox="1"/>
      </xdr:nvSpPr>
      <xdr:spPr>
        <a:xfrm>
          <a:off x="7615758" y="4237264"/>
          <a:ext cx="1114745" cy="296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Quarters</a:t>
          </a:r>
        </a:p>
      </xdr:txBody>
    </xdr:sp>
    <xdr:clientData/>
  </xdr:twoCellAnchor>
  <xdr:twoCellAnchor>
    <xdr:from>
      <xdr:col>7</xdr:col>
      <xdr:colOff>623048</xdr:colOff>
      <xdr:row>26</xdr:row>
      <xdr:rowOff>29935</xdr:rowOff>
    </xdr:from>
    <xdr:to>
      <xdr:col>9</xdr:col>
      <xdr:colOff>332334</xdr:colOff>
      <xdr:row>28</xdr:row>
      <xdr:rowOff>43543</xdr:rowOff>
    </xdr:to>
    <xdr:sp macro="" textlink="">
      <xdr:nvSpPr>
        <xdr:cNvPr id="12" name="TextBox 11">
          <a:extLst>
            <a:ext uri="{FF2B5EF4-FFF2-40B4-BE49-F238E27FC236}">
              <a16:creationId xmlns:a16="http://schemas.microsoft.com/office/drawing/2014/main" id="{C054B0A6-887E-4E54-AA66-309A5013E3A4}"/>
            </a:ext>
          </a:extLst>
        </xdr:cNvPr>
        <xdr:cNvSpPr txBox="1"/>
      </xdr:nvSpPr>
      <xdr:spPr>
        <a:xfrm>
          <a:off x="4880723" y="4239985"/>
          <a:ext cx="938011" cy="33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Quarters</a:t>
          </a:r>
        </a:p>
      </xdr:txBody>
    </xdr:sp>
    <xdr:clientData/>
  </xdr:twoCellAnchor>
  <xdr:twoCellAnchor>
    <xdr:from>
      <xdr:col>16</xdr:col>
      <xdr:colOff>549729</xdr:colOff>
      <xdr:row>26</xdr:row>
      <xdr:rowOff>32657</xdr:rowOff>
    </xdr:from>
    <xdr:to>
      <xdr:col>18</xdr:col>
      <xdr:colOff>337457</xdr:colOff>
      <xdr:row>28</xdr:row>
      <xdr:rowOff>43543</xdr:rowOff>
    </xdr:to>
    <xdr:sp macro="" textlink="">
      <xdr:nvSpPr>
        <xdr:cNvPr id="13" name="TextBox 12">
          <a:extLst>
            <a:ext uri="{FF2B5EF4-FFF2-40B4-BE49-F238E27FC236}">
              <a16:creationId xmlns:a16="http://schemas.microsoft.com/office/drawing/2014/main" id="{8C7E8B45-6998-4EAF-B0E9-4C84A4347655}"/>
            </a:ext>
          </a:extLst>
        </xdr:cNvPr>
        <xdr:cNvSpPr txBox="1"/>
      </xdr:nvSpPr>
      <xdr:spPr>
        <a:xfrm>
          <a:off x="10303329" y="4242707"/>
          <a:ext cx="1006928" cy="334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ysClr val="windowText" lastClr="000000"/>
              </a:solidFill>
              <a:latin typeface="Arial" panose="020B0604020202020204" pitchFamily="34" charset="0"/>
              <a:cs typeface="Arial" panose="020B0604020202020204" pitchFamily="34" charset="0"/>
            </a:rPr>
            <a:t>Quarters</a:t>
          </a:r>
        </a:p>
      </xdr:txBody>
    </xdr:sp>
    <xdr:clientData/>
  </xdr:twoCellAnchor>
  <xdr:oneCellAnchor>
    <xdr:from>
      <xdr:col>22</xdr:col>
      <xdr:colOff>12831</xdr:colOff>
      <xdr:row>28</xdr:row>
      <xdr:rowOff>63240</xdr:rowOff>
    </xdr:from>
    <xdr:ext cx="11371087" cy="3970617"/>
    <xdr:pic>
      <xdr:nvPicPr>
        <xdr:cNvPr id="14" name="Picture 13">
          <a:extLst>
            <a:ext uri="{FF2B5EF4-FFF2-40B4-BE49-F238E27FC236}">
              <a16:creationId xmlns:a16="http://schemas.microsoft.com/office/drawing/2014/main" id="{F4ECF5A5-31DF-4EA4-BA15-B201BC6EB33E}"/>
            </a:ext>
          </a:extLst>
        </xdr:cNvPr>
        <xdr:cNvPicPr>
          <a:picLocks noChangeAspect="1"/>
        </xdr:cNvPicPr>
      </xdr:nvPicPr>
      <xdr:blipFill>
        <a:blip xmlns:r="http://schemas.openxmlformats.org/officeDocument/2006/relationships" r:embed="rId5"/>
        <a:stretch>
          <a:fillRect/>
        </a:stretch>
      </xdr:blipFill>
      <xdr:spPr>
        <a:xfrm>
          <a:off x="13195431" y="4597140"/>
          <a:ext cx="11371087" cy="3970617"/>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0</xdr:col>
      <xdr:colOff>507067</xdr:colOff>
      <xdr:row>3</xdr:row>
      <xdr:rowOff>128870</xdr:rowOff>
    </xdr:from>
    <xdr:to>
      <xdr:col>12</xdr:col>
      <xdr:colOff>25977</xdr:colOff>
      <xdr:row>25</xdr:row>
      <xdr:rowOff>23813</xdr:rowOff>
    </xdr:to>
    <xdr:graphicFrame macro="">
      <xdr:nvGraphicFramePr>
        <xdr:cNvPr id="2" name="Chart 1">
          <a:extLst>
            <a:ext uri="{FF2B5EF4-FFF2-40B4-BE49-F238E27FC236}">
              <a16:creationId xmlns:a16="http://schemas.microsoft.com/office/drawing/2014/main" id="{DE8D90AB-F3DC-4AE6-AB49-66FD660C1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218515</xdr:colOff>
      <xdr:row>17</xdr:row>
      <xdr:rowOff>156882</xdr:rowOff>
    </xdr:from>
    <xdr:to>
      <xdr:col>9</xdr:col>
      <xdr:colOff>565896</xdr:colOff>
      <xdr:row>23</xdr:row>
      <xdr:rowOff>117660</xdr:rowOff>
    </xdr:to>
    <xdr:sp macro="" textlink="">
      <xdr:nvSpPr>
        <xdr:cNvPr id="3" name="TextBox 2">
          <a:extLst>
            <a:ext uri="{FF2B5EF4-FFF2-40B4-BE49-F238E27FC236}">
              <a16:creationId xmlns:a16="http://schemas.microsoft.com/office/drawing/2014/main" id="{BDE85EBF-BF09-420E-817A-12E5C8758DDE}"/>
            </a:ext>
          </a:extLst>
        </xdr:cNvPr>
        <xdr:cNvSpPr txBox="1"/>
      </xdr:nvSpPr>
      <xdr:spPr>
        <a:xfrm>
          <a:off x="799540" y="4995582"/>
          <a:ext cx="4995581" cy="1103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 IMF staff analysis based on Cravino, Lan, and Levchenko (2020); and US Bureau of Labor Statistics.</a:t>
          </a:r>
        </a:p>
        <a:p>
          <a:r>
            <a:rPr lang="en-US" sz="1000">
              <a:solidFill>
                <a:schemeClr val="dk1"/>
              </a:solidFill>
              <a:effectLst/>
              <a:latin typeface="Arial" panose="020B0604020202020204" pitchFamily="34" charset="0"/>
              <a:ea typeface="+mn-ea"/>
              <a:cs typeface="Arial" panose="020B0604020202020204" pitchFamily="34" charset="0"/>
            </a:rPr>
            <a:t>Note: Price gap is the accumulated inflation gap since 1998 between top 5th and 40th–60th income percentiles.	</a:t>
          </a:r>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212911</xdr:colOff>
      <xdr:row>25</xdr:row>
      <xdr:rowOff>106456</xdr:rowOff>
    </xdr:from>
    <xdr:to>
      <xdr:col>9</xdr:col>
      <xdr:colOff>267007</xdr:colOff>
      <xdr:row>42</xdr:row>
      <xdr:rowOff>166314</xdr:rowOff>
    </xdr:to>
    <xdr:pic>
      <xdr:nvPicPr>
        <xdr:cNvPr id="4" name="Picture 3">
          <a:extLst>
            <a:ext uri="{FF2B5EF4-FFF2-40B4-BE49-F238E27FC236}">
              <a16:creationId xmlns:a16="http://schemas.microsoft.com/office/drawing/2014/main" id="{3D77AC78-0623-492D-A637-6968DC0E070B}"/>
            </a:ext>
          </a:extLst>
        </xdr:cNvPr>
        <xdr:cNvPicPr>
          <a:picLocks noChangeAspect="1"/>
        </xdr:cNvPicPr>
      </xdr:nvPicPr>
      <xdr:blipFill>
        <a:blip xmlns:r="http://schemas.openxmlformats.org/officeDocument/2006/relationships" r:embed="rId2"/>
        <a:stretch>
          <a:fillRect/>
        </a:stretch>
      </xdr:blipFill>
      <xdr:spPr>
        <a:xfrm>
          <a:off x="793936" y="6469156"/>
          <a:ext cx="4702296" cy="3298358"/>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0.03822</cdr:x>
      <cdr:y>0.54597</cdr:y>
    </cdr:from>
    <cdr:to>
      <cdr:x>0.9765</cdr:x>
      <cdr:y>0.75278</cdr:y>
    </cdr:to>
    <cdr:sp macro="" textlink="">
      <cdr:nvSpPr>
        <cdr:cNvPr id="2" name="TextBox 2">
          <a:extLst xmlns:a="http://schemas.openxmlformats.org/drawingml/2006/main">
            <a:ext uri="{FF2B5EF4-FFF2-40B4-BE49-F238E27FC236}">
              <a16:creationId xmlns:a16="http://schemas.microsoft.com/office/drawing/2014/main" id="{B4A3F2C2-1A10-188C-4AE6-674CD15119C3}"/>
            </a:ext>
          </a:extLst>
        </cdr:cNvPr>
        <cdr:cNvSpPr txBox="1"/>
      </cdr:nvSpPr>
      <cdr:spPr>
        <a:xfrm xmlns:a="http://schemas.openxmlformats.org/drawingml/2006/main" rot="16200000">
          <a:off x="3005644" y="145146"/>
          <a:ext cx="1092114" cy="65682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800">
              <a:latin typeface="Arial" panose="020B0604020202020204" pitchFamily="34" charset="0"/>
              <a:cs typeface="Arial" panose="020B0604020202020204" pitchFamily="34" charset="0"/>
            </a:rPr>
            <a:t>1998</a:t>
          </a:r>
        </a:p>
        <a:p xmlns:a="http://schemas.openxmlformats.org/drawingml/2006/main">
          <a:pPr algn="r"/>
          <a:r>
            <a:rPr lang="en-US" sz="1800">
              <a:latin typeface="Arial" panose="020B0604020202020204" pitchFamily="34" charset="0"/>
              <a:cs typeface="Arial" panose="020B0604020202020204" pitchFamily="34" charset="0"/>
            </a:rPr>
            <a:t>99</a:t>
          </a:r>
        </a:p>
        <a:p xmlns:a="http://schemas.openxmlformats.org/drawingml/2006/main">
          <a:pPr algn="r"/>
          <a:r>
            <a:rPr lang="en-US" sz="1800">
              <a:latin typeface="Arial" panose="020B0604020202020204" pitchFamily="34" charset="0"/>
              <a:cs typeface="Arial" panose="020B0604020202020204" pitchFamily="34" charset="0"/>
            </a:rPr>
            <a:t>2000</a:t>
          </a:r>
        </a:p>
        <a:p xmlns:a="http://schemas.openxmlformats.org/drawingml/2006/main">
          <a:pPr algn="r"/>
          <a:r>
            <a:rPr lang="en-US" sz="1800">
              <a:latin typeface="Arial" panose="020B0604020202020204" pitchFamily="34" charset="0"/>
              <a:cs typeface="Arial" panose="020B0604020202020204" pitchFamily="34" charset="0"/>
            </a:rPr>
            <a:t>01</a:t>
          </a:r>
        </a:p>
        <a:p xmlns:a="http://schemas.openxmlformats.org/drawingml/2006/main">
          <a:pPr algn="r"/>
          <a:r>
            <a:rPr lang="en-US" sz="1800">
              <a:latin typeface="Arial" panose="020B0604020202020204" pitchFamily="34" charset="0"/>
              <a:cs typeface="Arial" panose="020B0604020202020204" pitchFamily="34" charset="0"/>
            </a:rPr>
            <a:t>02</a:t>
          </a:r>
        </a:p>
        <a:p xmlns:a="http://schemas.openxmlformats.org/drawingml/2006/main">
          <a:pPr algn="r"/>
          <a:r>
            <a:rPr lang="en-US" sz="1800">
              <a:latin typeface="Arial" panose="020B0604020202020204" pitchFamily="34" charset="0"/>
              <a:cs typeface="Arial" panose="020B0604020202020204" pitchFamily="34" charset="0"/>
            </a:rPr>
            <a:t>03</a:t>
          </a:r>
        </a:p>
        <a:p xmlns:a="http://schemas.openxmlformats.org/drawingml/2006/main">
          <a:pPr algn="r"/>
          <a:r>
            <a:rPr lang="en-US" sz="1800">
              <a:latin typeface="Arial" panose="020B0604020202020204" pitchFamily="34" charset="0"/>
              <a:cs typeface="Arial" panose="020B0604020202020204" pitchFamily="34" charset="0"/>
            </a:rPr>
            <a:t>04</a:t>
          </a:r>
        </a:p>
        <a:p xmlns:a="http://schemas.openxmlformats.org/drawingml/2006/main">
          <a:pPr algn="r"/>
          <a:r>
            <a:rPr lang="en-US" sz="1800">
              <a:latin typeface="Arial" panose="020B0604020202020204" pitchFamily="34" charset="0"/>
              <a:cs typeface="Arial" panose="020B0604020202020204" pitchFamily="34" charset="0"/>
            </a:rPr>
            <a:t>05</a:t>
          </a:r>
        </a:p>
        <a:p xmlns:a="http://schemas.openxmlformats.org/drawingml/2006/main">
          <a:pPr algn="r"/>
          <a:r>
            <a:rPr lang="en-US" sz="1800">
              <a:latin typeface="Arial" panose="020B0604020202020204" pitchFamily="34" charset="0"/>
              <a:cs typeface="Arial" panose="020B0604020202020204" pitchFamily="34" charset="0"/>
            </a:rPr>
            <a:t>06</a:t>
          </a:r>
        </a:p>
        <a:p xmlns:a="http://schemas.openxmlformats.org/drawingml/2006/main">
          <a:pPr algn="r"/>
          <a:r>
            <a:rPr lang="en-US" sz="1800">
              <a:latin typeface="Arial" panose="020B0604020202020204" pitchFamily="34" charset="0"/>
              <a:cs typeface="Arial" panose="020B0604020202020204" pitchFamily="34" charset="0"/>
            </a:rPr>
            <a:t>07</a:t>
          </a:r>
        </a:p>
        <a:p xmlns:a="http://schemas.openxmlformats.org/drawingml/2006/main">
          <a:pPr algn="r"/>
          <a:r>
            <a:rPr lang="en-US" sz="1800">
              <a:latin typeface="Arial" panose="020B0604020202020204" pitchFamily="34" charset="0"/>
              <a:cs typeface="Arial" panose="020B0604020202020204" pitchFamily="34" charset="0"/>
            </a:rPr>
            <a:t>08</a:t>
          </a:r>
        </a:p>
        <a:p xmlns:a="http://schemas.openxmlformats.org/drawingml/2006/main">
          <a:pPr algn="r"/>
          <a:r>
            <a:rPr lang="en-US" sz="1800">
              <a:latin typeface="Arial" panose="020B0604020202020204" pitchFamily="34" charset="0"/>
              <a:cs typeface="Arial" panose="020B0604020202020204" pitchFamily="34" charset="0"/>
            </a:rPr>
            <a:t>09</a:t>
          </a:r>
        </a:p>
        <a:p xmlns:a="http://schemas.openxmlformats.org/drawingml/2006/main">
          <a:pPr algn="r"/>
          <a:r>
            <a:rPr lang="en-US" sz="1800">
              <a:latin typeface="Arial" panose="020B0604020202020204" pitchFamily="34" charset="0"/>
              <a:cs typeface="Arial" panose="020B0604020202020204" pitchFamily="34" charset="0"/>
            </a:rPr>
            <a:t>10</a:t>
          </a:r>
        </a:p>
        <a:p xmlns:a="http://schemas.openxmlformats.org/drawingml/2006/main">
          <a:pPr algn="r"/>
          <a:r>
            <a:rPr lang="en-US" sz="1800">
              <a:latin typeface="Arial" panose="020B0604020202020204" pitchFamily="34" charset="0"/>
              <a:cs typeface="Arial" panose="020B0604020202020204" pitchFamily="34" charset="0"/>
            </a:rPr>
            <a:t>11</a:t>
          </a:r>
        </a:p>
        <a:p xmlns:a="http://schemas.openxmlformats.org/drawingml/2006/main">
          <a:pPr algn="r"/>
          <a:r>
            <a:rPr lang="en-US" sz="1800">
              <a:latin typeface="Arial" panose="020B0604020202020204" pitchFamily="34" charset="0"/>
              <a:cs typeface="Arial" panose="020B0604020202020204" pitchFamily="34" charset="0"/>
            </a:rPr>
            <a:t>12</a:t>
          </a:r>
        </a:p>
        <a:p xmlns:a="http://schemas.openxmlformats.org/drawingml/2006/main">
          <a:pPr algn="r"/>
          <a:r>
            <a:rPr lang="en-US" sz="1800">
              <a:latin typeface="Arial" panose="020B0604020202020204" pitchFamily="34" charset="0"/>
              <a:cs typeface="Arial" panose="020B0604020202020204" pitchFamily="34" charset="0"/>
            </a:rPr>
            <a:t>13</a:t>
          </a:r>
        </a:p>
        <a:p xmlns:a="http://schemas.openxmlformats.org/drawingml/2006/main">
          <a:pPr algn="r"/>
          <a:r>
            <a:rPr lang="en-US" sz="1800">
              <a:latin typeface="Arial" panose="020B0604020202020204" pitchFamily="34" charset="0"/>
              <a:cs typeface="Arial" panose="020B0604020202020204" pitchFamily="34" charset="0"/>
            </a:rPr>
            <a:t>14</a:t>
          </a:r>
        </a:p>
        <a:p xmlns:a="http://schemas.openxmlformats.org/drawingml/2006/main">
          <a:pPr algn="r"/>
          <a:r>
            <a:rPr lang="en-US" sz="1800">
              <a:latin typeface="Arial" panose="020B0604020202020204" pitchFamily="34" charset="0"/>
              <a:cs typeface="Arial" panose="020B0604020202020204" pitchFamily="34" charset="0"/>
            </a:rPr>
            <a:t>15</a:t>
          </a:r>
        </a:p>
        <a:p xmlns:a="http://schemas.openxmlformats.org/drawingml/2006/main">
          <a:pPr algn="r"/>
          <a:r>
            <a:rPr lang="en-US" sz="1800">
              <a:latin typeface="Arial" panose="020B0604020202020204" pitchFamily="34" charset="0"/>
              <a:cs typeface="Arial" panose="020B0604020202020204" pitchFamily="34" charset="0"/>
            </a:rPr>
            <a:t>16</a:t>
          </a:r>
        </a:p>
        <a:p xmlns:a="http://schemas.openxmlformats.org/drawingml/2006/main">
          <a:pPr algn="r"/>
          <a:r>
            <a:rPr lang="en-US" sz="1800">
              <a:latin typeface="Arial" panose="020B0604020202020204" pitchFamily="34" charset="0"/>
              <a:cs typeface="Arial" panose="020B0604020202020204" pitchFamily="34" charset="0"/>
            </a:rPr>
            <a:t>17</a:t>
          </a:r>
        </a:p>
        <a:p xmlns:a="http://schemas.openxmlformats.org/drawingml/2006/main">
          <a:pPr algn="r"/>
          <a:r>
            <a:rPr lang="en-US" sz="1800">
              <a:latin typeface="Arial" panose="020B0604020202020204" pitchFamily="34" charset="0"/>
              <a:cs typeface="Arial" panose="020B0604020202020204" pitchFamily="34" charset="0"/>
            </a:rPr>
            <a:t>18</a:t>
          </a:r>
        </a:p>
        <a:p xmlns:a="http://schemas.openxmlformats.org/drawingml/2006/main">
          <a:pPr algn="r"/>
          <a:r>
            <a:rPr lang="en-US" sz="1800">
              <a:latin typeface="Arial" panose="020B0604020202020204" pitchFamily="34" charset="0"/>
              <a:cs typeface="Arial" panose="020B0604020202020204" pitchFamily="34" charset="0"/>
            </a:rPr>
            <a:t>19</a:t>
          </a:r>
        </a:p>
        <a:p xmlns:a="http://schemas.openxmlformats.org/drawingml/2006/main">
          <a:pPr algn="r"/>
          <a:r>
            <a:rPr lang="en-US" sz="1800">
              <a:latin typeface="Arial" panose="020B0604020202020204" pitchFamily="34" charset="0"/>
              <a:cs typeface="Arial" panose="020B0604020202020204" pitchFamily="34" charset="0"/>
            </a:rPr>
            <a:t>20</a:t>
          </a:r>
        </a:p>
        <a:p xmlns:a="http://schemas.openxmlformats.org/drawingml/2006/main">
          <a:pPr algn="r"/>
          <a:r>
            <a:rPr lang="en-US" sz="1800">
              <a:latin typeface="Arial" panose="020B0604020202020204" pitchFamily="34" charset="0"/>
              <a:cs typeface="Arial" panose="020B0604020202020204" pitchFamily="34" charset="0"/>
            </a:rPr>
            <a:t>21</a:t>
          </a:r>
        </a:p>
      </cdr:txBody>
    </cdr:sp>
  </cdr:relSizeAnchor>
</c:userShapes>
</file>

<file path=xl/drawings/drawing48.xml><?xml version="1.0" encoding="utf-8"?>
<xdr:wsDr xmlns:xdr="http://schemas.openxmlformats.org/drawingml/2006/spreadsheetDrawing" xmlns:a="http://schemas.openxmlformats.org/drawingml/2006/main">
  <xdr:twoCellAnchor>
    <xdr:from>
      <xdr:col>1</xdr:col>
      <xdr:colOff>299358</xdr:colOff>
      <xdr:row>3</xdr:row>
      <xdr:rowOff>155663</xdr:rowOff>
    </xdr:from>
    <xdr:to>
      <xdr:col>7</xdr:col>
      <xdr:colOff>100279</xdr:colOff>
      <xdr:row>21</xdr:row>
      <xdr:rowOff>67721</xdr:rowOff>
    </xdr:to>
    <xdr:graphicFrame macro="">
      <xdr:nvGraphicFramePr>
        <xdr:cNvPr id="2" name="Chart 1">
          <a:extLst>
            <a:ext uri="{FF2B5EF4-FFF2-40B4-BE49-F238E27FC236}">
              <a16:creationId xmlns:a16="http://schemas.microsoft.com/office/drawing/2014/main" id="{490B0E0D-458D-480C-BDCE-A689728D6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369760</xdr:colOff>
      <xdr:row>23</xdr:row>
      <xdr:rowOff>36921</xdr:rowOff>
    </xdr:from>
    <xdr:to>
      <xdr:col>7</xdr:col>
      <xdr:colOff>13608</xdr:colOff>
      <xdr:row>41</xdr:row>
      <xdr:rowOff>27193</xdr:rowOff>
    </xdr:to>
    <xdr:graphicFrame macro="">
      <xdr:nvGraphicFramePr>
        <xdr:cNvPr id="3" name="Chart 2">
          <a:extLst>
            <a:ext uri="{FF2B5EF4-FFF2-40B4-BE49-F238E27FC236}">
              <a16:creationId xmlns:a16="http://schemas.microsoft.com/office/drawing/2014/main" id="{C06FABBD-99D8-4169-A0BD-BAC3E78DF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200370</xdr:colOff>
      <xdr:row>2</xdr:row>
      <xdr:rowOff>95250</xdr:rowOff>
    </xdr:from>
    <xdr:to>
      <xdr:col>6</xdr:col>
      <xdr:colOff>380484</xdr:colOff>
      <xdr:row>4</xdr:row>
      <xdr:rowOff>100852</xdr:rowOff>
    </xdr:to>
    <xdr:sp macro="" textlink="">
      <xdr:nvSpPr>
        <xdr:cNvPr id="4" name="TextBox 3">
          <a:extLst>
            <a:ext uri="{FF2B5EF4-FFF2-40B4-BE49-F238E27FC236}">
              <a16:creationId xmlns:a16="http://schemas.microsoft.com/office/drawing/2014/main" id="{26412437-FE42-463D-84E2-2B3E7365AAAB}"/>
            </a:ext>
          </a:extLst>
        </xdr:cNvPr>
        <xdr:cNvSpPr txBox="1"/>
      </xdr:nvSpPr>
      <xdr:spPr>
        <a:xfrm>
          <a:off x="2029170" y="419100"/>
          <a:ext cx="2008914" cy="329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1. United States</a:t>
          </a:r>
        </a:p>
      </xdr:txBody>
    </xdr:sp>
    <xdr:clientData/>
  </xdr:twoCellAnchor>
  <xdr:twoCellAnchor>
    <xdr:from>
      <xdr:col>3</xdr:col>
      <xdr:colOff>136293</xdr:colOff>
      <xdr:row>22</xdr:row>
      <xdr:rowOff>40341</xdr:rowOff>
    </xdr:from>
    <xdr:to>
      <xdr:col>7</xdr:col>
      <xdr:colOff>43658</xdr:colOff>
      <xdr:row>24</xdr:row>
      <xdr:rowOff>45943</xdr:rowOff>
    </xdr:to>
    <xdr:sp macro="" textlink="">
      <xdr:nvSpPr>
        <xdr:cNvPr id="5" name="TextBox 4">
          <a:extLst>
            <a:ext uri="{FF2B5EF4-FFF2-40B4-BE49-F238E27FC236}">
              <a16:creationId xmlns:a16="http://schemas.microsoft.com/office/drawing/2014/main" id="{6B34EE72-DA70-4B33-83CF-FAD1B8348D81}"/>
            </a:ext>
          </a:extLst>
        </xdr:cNvPr>
        <xdr:cNvSpPr txBox="1"/>
      </xdr:nvSpPr>
      <xdr:spPr>
        <a:xfrm>
          <a:off x="1965093" y="3602691"/>
          <a:ext cx="2345765" cy="329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cs typeface="Arial" panose="020B0604020202020204" pitchFamily="34" charset="0"/>
            </a:rPr>
            <a:t>2. United Kingdom</a:t>
          </a:r>
        </a:p>
      </xdr:txBody>
    </xdr:sp>
    <xdr:clientData/>
  </xdr:twoCellAnchor>
  <xdr:twoCellAnchor>
    <xdr:from>
      <xdr:col>4</xdr:col>
      <xdr:colOff>48423</xdr:colOff>
      <xdr:row>4</xdr:row>
      <xdr:rowOff>82111</xdr:rowOff>
    </xdr:from>
    <xdr:to>
      <xdr:col>4</xdr:col>
      <xdr:colOff>578068</xdr:colOff>
      <xdr:row>6</xdr:row>
      <xdr:rowOff>22990</xdr:rowOff>
    </xdr:to>
    <xdr:sp macro="" textlink="">
      <xdr:nvSpPr>
        <xdr:cNvPr id="6" name="TextBox 5">
          <a:extLst>
            <a:ext uri="{FF2B5EF4-FFF2-40B4-BE49-F238E27FC236}">
              <a16:creationId xmlns:a16="http://schemas.microsoft.com/office/drawing/2014/main" id="{B60BCEA7-286C-4EED-A46C-F52A68A826CD}"/>
            </a:ext>
          </a:extLst>
        </xdr:cNvPr>
        <xdr:cNvSpPr txBox="1"/>
      </xdr:nvSpPr>
      <xdr:spPr>
        <a:xfrm>
          <a:off x="2486823" y="729811"/>
          <a:ext cx="529645" cy="26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WWI</a:t>
          </a:r>
        </a:p>
      </xdr:txBody>
    </xdr:sp>
    <xdr:clientData/>
  </xdr:twoCellAnchor>
  <xdr:twoCellAnchor>
    <xdr:from>
      <xdr:col>4</xdr:col>
      <xdr:colOff>374902</xdr:colOff>
      <xdr:row>4</xdr:row>
      <xdr:rowOff>83424</xdr:rowOff>
    </xdr:from>
    <xdr:to>
      <xdr:col>5</xdr:col>
      <xdr:colOff>257504</xdr:colOff>
      <xdr:row>6</xdr:row>
      <xdr:rowOff>24303</xdr:rowOff>
    </xdr:to>
    <xdr:sp macro="" textlink="">
      <xdr:nvSpPr>
        <xdr:cNvPr id="7" name="TextBox 6">
          <a:extLst>
            <a:ext uri="{FF2B5EF4-FFF2-40B4-BE49-F238E27FC236}">
              <a16:creationId xmlns:a16="http://schemas.microsoft.com/office/drawing/2014/main" id="{BC5A2FA2-DC9C-4C10-A08A-501F84D7D675}"/>
            </a:ext>
          </a:extLst>
        </xdr:cNvPr>
        <xdr:cNvSpPr txBox="1"/>
      </xdr:nvSpPr>
      <xdr:spPr>
        <a:xfrm>
          <a:off x="2813302" y="731124"/>
          <a:ext cx="492202" cy="26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WWII</a:t>
          </a:r>
        </a:p>
      </xdr:txBody>
    </xdr:sp>
    <xdr:clientData/>
  </xdr:twoCellAnchor>
  <xdr:twoCellAnchor>
    <xdr:from>
      <xdr:col>5</xdr:col>
      <xdr:colOff>269185</xdr:colOff>
      <xdr:row>4</xdr:row>
      <xdr:rowOff>75745</xdr:rowOff>
    </xdr:from>
    <xdr:to>
      <xdr:col>6</xdr:col>
      <xdr:colOff>472110</xdr:colOff>
      <xdr:row>5</xdr:row>
      <xdr:rowOff>128383</xdr:rowOff>
    </xdr:to>
    <xdr:sp macro="" textlink="">
      <xdr:nvSpPr>
        <xdr:cNvPr id="8" name="TextBox 7">
          <a:extLst>
            <a:ext uri="{FF2B5EF4-FFF2-40B4-BE49-F238E27FC236}">
              <a16:creationId xmlns:a16="http://schemas.microsoft.com/office/drawing/2014/main" id="{F0DED498-2698-47BB-9D00-75FC5406EBE0}"/>
            </a:ext>
          </a:extLst>
        </xdr:cNvPr>
        <xdr:cNvSpPr txBox="1"/>
      </xdr:nvSpPr>
      <xdr:spPr>
        <a:xfrm>
          <a:off x="3317185" y="723445"/>
          <a:ext cx="812525" cy="214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COVID-19</a:t>
          </a:r>
        </a:p>
      </xdr:txBody>
    </xdr:sp>
    <xdr:clientData/>
  </xdr:twoCellAnchor>
  <xdr:twoCellAnchor>
    <xdr:from>
      <xdr:col>3</xdr:col>
      <xdr:colOff>467967</xdr:colOff>
      <xdr:row>23</xdr:row>
      <xdr:rowOff>138890</xdr:rowOff>
    </xdr:from>
    <xdr:to>
      <xdr:col>4</xdr:col>
      <xdr:colOff>351569</xdr:colOff>
      <xdr:row>25</xdr:row>
      <xdr:rowOff>79769</xdr:rowOff>
    </xdr:to>
    <xdr:sp macro="" textlink="">
      <xdr:nvSpPr>
        <xdr:cNvPr id="9" name="TextBox 8">
          <a:extLst>
            <a:ext uri="{FF2B5EF4-FFF2-40B4-BE49-F238E27FC236}">
              <a16:creationId xmlns:a16="http://schemas.microsoft.com/office/drawing/2014/main" id="{E741612A-DD25-4511-A623-81919B89B932}"/>
            </a:ext>
          </a:extLst>
        </xdr:cNvPr>
        <xdr:cNvSpPr txBox="1"/>
      </xdr:nvSpPr>
      <xdr:spPr>
        <a:xfrm>
          <a:off x="2296767" y="3863165"/>
          <a:ext cx="493202" cy="26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WWI</a:t>
          </a:r>
        </a:p>
      </xdr:txBody>
    </xdr:sp>
    <xdr:clientData/>
  </xdr:twoCellAnchor>
  <xdr:twoCellAnchor>
    <xdr:from>
      <xdr:col>4</xdr:col>
      <xdr:colOff>227088</xdr:colOff>
      <xdr:row>23</xdr:row>
      <xdr:rowOff>140203</xdr:rowOff>
    </xdr:from>
    <xdr:to>
      <xdr:col>5</xdr:col>
      <xdr:colOff>109690</xdr:colOff>
      <xdr:row>25</xdr:row>
      <xdr:rowOff>81082</xdr:rowOff>
    </xdr:to>
    <xdr:sp macro="" textlink="">
      <xdr:nvSpPr>
        <xdr:cNvPr id="10" name="TextBox 9">
          <a:extLst>
            <a:ext uri="{FF2B5EF4-FFF2-40B4-BE49-F238E27FC236}">
              <a16:creationId xmlns:a16="http://schemas.microsoft.com/office/drawing/2014/main" id="{7030D04D-01DD-4E33-A56F-F02B4DBA0346}"/>
            </a:ext>
          </a:extLst>
        </xdr:cNvPr>
        <xdr:cNvSpPr txBox="1"/>
      </xdr:nvSpPr>
      <xdr:spPr>
        <a:xfrm>
          <a:off x="2665488" y="3864478"/>
          <a:ext cx="492202" cy="26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WWII</a:t>
          </a:r>
        </a:p>
      </xdr:txBody>
    </xdr:sp>
    <xdr:clientData/>
  </xdr:twoCellAnchor>
  <xdr:twoCellAnchor>
    <xdr:from>
      <xdr:col>5</xdr:col>
      <xdr:colOff>269184</xdr:colOff>
      <xdr:row>23</xdr:row>
      <xdr:rowOff>140806</xdr:rowOff>
    </xdr:from>
    <xdr:to>
      <xdr:col>6</xdr:col>
      <xdr:colOff>472109</xdr:colOff>
      <xdr:row>25</xdr:row>
      <xdr:rowOff>31932</xdr:rowOff>
    </xdr:to>
    <xdr:sp macro="" textlink="">
      <xdr:nvSpPr>
        <xdr:cNvPr id="11" name="TextBox 10">
          <a:extLst>
            <a:ext uri="{FF2B5EF4-FFF2-40B4-BE49-F238E27FC236}">
              <a16:creationId xmlns:a16="http://schemas.microsoft.com/office/drawing/2014/main" id="{8AB28647-8EE0-4694-B21A-8C83376DF15A}"/>
            </a:ext>
          </a:extLst>
        </xdr:cNvPr>
        <xdr:cNvSpPr txBox="1"/>
      </xdr:nvSpPr>
      <xdr:spPr>
        <a:xfrm>
          <a:off x="3317184" y="3865081"/>
          <a:ext cx="812525" cy="21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COVID-19</a:t>
          </a:r>
        </a:p>
      </xdr:txBody>
    </xdr:sp>
    <xdr:clientData/>
  </xdr:twoCellAnchor>
  <xdr:oneCellAnchor>
    <xdr:from>
      <xdr:col>19</xdr:col>
      <xdr:colOff>66386</xdr:colOff>
      <xdr:row>1</xdr:row>
      <xdr:rowOff>27709</xdr:rowOff>
    </xdr:from>
    <xdr:ext cx="2635826" cy="4565001"/>
    <xdr:pic>
      <xdr:nvPicPr>
        <xdr:cNvPr id="12" name="Picture 11">
          <a:extLst>
            <a:ext uri="{FF2B5EF4-FFF2-40B4-BE49-F238E27FC236}">
              <a16:creationId xmlns:a16="http://schemas.microsoft.com/office/drawing/2014/main" id="{40F09483-9A36-4FF7-943D-D6883F3DBEAB}"/>
            </a:ext>
          </a:extLst>
        </xdr:cNvPr>
        <xdr:cNvPicPr>
          <a:picLocks noChangeAspect="1"/>
        </xdr:cNvPicPr>
      </xdr:nvPicPr>
      <xdr:blipFill>
        <a:blip xmlns:r="http://schemas.openxmlformats.org/officeDocument/2006/relationships" r:embed="rId3"/>
        <a:stretch>
          <a:fillRect/>
        </a:stretch>
      </xdr:blipFill>
      <xdr:spPr>
        <a:xfrm>
          <a:off x="12125036" y="189634"/>
          <a:ext cx="2635826" cy="4565001"/>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5</xdr:col>
      <xdr:colOff>238216</xdr:colOff>
      <xdr:row>5</xdr:row>
      <xdr:rowOff>10717</xdr:rowOff>
    </xdr:from>
    <xdr:to>
      <xdr:col>10</xdr:col>
      <xdr:colOff>45965</xdr:colOff>
      <xdr:row>19</xdr:row>
      <xdr:rowOff>104180</xdr:rowOff>
    </xdr:to>
    <xdr:graphicFrame macro="">
      <xdr:nvGraphicFramePr>
        <xdr:cNvPr id="2" name="Chart 1">
          <a:extLst>
            <a:ext uri="{FF2B5EF4-FFF2-40B4-BE49-F238E27FC236}">
              <a16:creationId xmlns:a16="http://schemas.microsoft.com/office/drawing/2014/main" id="{DF67F242-FA53-4C76-8D09-43F134503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620316</xdr:colOff>
      <xdr:row>5</xdr:row>
      <xdr:rowOff>4762</xdr:rowOff>
    </xdr:from>
    <xdr:to>
      <xdr:col>5</xdr:col>
      <xdr:colOff>115491</xdr:colOff>
      <xdr:row>19</xdr:row>
      <xdr:rowOff>91983</xdr:rowOff>
    </xdr:to>
    <xdr:graphicFrame macro="">
      <xdr:nvGraphicFramePr>
        <xdr:cNvPr id="3" name="Chart 2">
          <a:extLst>
            <a:ext uri="{FF2B5EF4-FFF2-40B4-BE49-F238E27FC236}">
              <a16:creationId xmlns:a16="http://schemas.microsoft.com/office/drawing/2014/main" id="{43C82A04-816C-44DF-93DE-B4F909FDE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329394</xdr:colOff>
      <xdr:row>5</xdr:row>
      <xdr:rowOff>143711</xdr:rowOff>
    </xdr:from>
    <xdr:to>
      <xdr:col>3</xdr:col>
      <xdr:colOff>293077</xdr:colOff>
      <xdr:row>17</xdr:row>
      <xdr:rowOff>120317</xdr:rowOff>
    </xdr:to>
    <xdr:sp macro="" textlink="">
      <xdr:nvSpPr>
        <xdr:cNvPr id="4" name="Rectangle 3">
          <a:extLst>
            <a:ext uri="{FF2B5EF4-FFF2-40B4-BE49-F238E27FC236}">
              <a16:creationId xmlns:a16="http://schemas.microsoft.com/office/drawing/2014/main" id="{82A96D6A-64B6-4B1F-B9CB-CFE81B7A7034}"/>
            </a:ext>
          </a:extLst>
        </xdr:cNvPr>
        <xdr:cNvSpPr/>
      </xdr:nvSpPr>
      <xdr:spPr>
        <a:xfrm flipH="1">
          <a:off x="929469" y="1305761"/>
          <a:ext cx="1163833" cy="1919706"/>
        </a:xfrm>
        <a:prstGeom prst="rect">
          <a:avLst/>
        </a:prstGeom>
        <a:solidFill>
          <a:srgbClr val="BFBFBF">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577099</xdr:colOff>
      <xdr:row>5</xdr:row>
      <xdr:rowOff>146426</xdr:rowOff>
    </xdr:from>
    <xdr:to>
      <xdr:col>8</xdr:col>
      <xdr:colOff>58085</xdr:colOff>
      <xdr:row>17</xdr:row>
      <xdr:rowOff>130342</xdr:rowOff>
    </xdr:to>
    <xdr:sp macro="" textlink="">
      <xdr:nvSpPr>
        <xdr:cNvPr id="5" name="Rectangle 4">
          <a:extLst>
            <a:ext uri="{FF2B5EF4-FFF2-40B4-BE49-F238E27FC236}">
              <a16:creationId xmlns:a16="http://schemas.microsoft.com/office/drawing/2014/main" id="{999396AF-0CB0-4A25-889C-E944EE1648BD}"/>
            </a:ext>
          </a:extLst>
        </xdr:cNvPr>
        <xdr:cNvSpPr/>
      </xdr:nvSpPr>
      <xdr:spPr>
        <a:xfrm flipH="1">
          <a:off x="3577474" y="1308476"/>
          <a:ext cx="1281211" cy="1927016"/>
        </a:xfrm>
        <a:prstGeom prst="rect">
          <a:avLst/>
        </a:prstGeom>
        <a:solidFill>
          <a:srgbClr val="BFBFBF">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242093</xdr:colOff>
      <xdr:row>18</xdr:row>
      <xdr:rowOff>138905</xdr:rowOff>
    </xdr:from>
    <xdr:to>
      <xdr:col>3</xdr:col>
      <xdr:colOff>404812</xdr:colOff>
      <xdr:row>20</xdr:row>
      <xdr:rowOff>103186</xdr:rowOff>
    </xdr:to>
    <xdr:sp macro="" textlink="">
      <xdr:nvSpPr>
        <xdr:cNvPr id="6" name="TextBox 5">
          <a:extLst>
            <a:ext uri="{FF2B5EF4-FFF2-40B4-BE49-F238E27FC236}">
              <a16:creationId xmlns:a16="http://schemas.microsoft.com/office/drawing/2014/main" id="{B443562C-6A42-49B2-A562-F170F722C010}"/>
            </a:ext>
          </a:extLst>
        </xdr:cNvPr>
        <xdr:cNvSpPr txBox="1"/>
      </xdr:nvSpPr>
      <xdr:spPr>
        <a:xfrm>
          <a:off x="1442243" y="3405980"/>
          <a:ext cx="762794" cy="288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rial" panose="020B0604020202020204" pitchFamily="34" charset="0"/>
              <a:cs typeface="Arial" panose="020B0604020202020204" pitchFamily="34" charset="0"/>
            </a:rPr>
            <a:t>Year</a:t>
          </a:r>
        </a:p>
      </xdr:txBody>
    </xdr:sp>
    <xdr:clientData/>
  </xdr:twoCellAnchor>
  <xdr:twoCellAnchor>
    <xdr:from>
      <xdr:col>7</xdr:col>
      <xdr:colOff>254000</xdr:colOff>
      <xdr:row>18</xdr:row>
      <xdr:rowOff>142875</xdr:rowOff>
    </xdr:from>
    <xdr:to>
      <xdr:col>8</xdr:col>
      <xdr:colOff>416719</xdr:colOff>
      <xdr:row>20</xdr:row>
      <xdr:rowOff>107156</xdr:rowOff>
    </xdr:to>
    <xdr:sp macro="" textlink="">
      <xdr:nvSpPr>
        <xdr:cNvPr id="7" name="TextBox 6">
          <a:extLst>
            <a:ext uri="{FF2B5EF4-FFF2-40B4-BE49-F238E27FC236}">
              <a16:creationId xmlns:a16="http://schemas.microsoft.com/office/drawing/2014/main" id="{E96FFBAE-E44E-4F02-86AF-ED2711564A6D}"/>
            </a:ext>
          </a:extLst>
        </xdr:cNvPr>
        <xdr:cNvSpPr txBox="1"/>
      </xdr:nvSpPr>
      <xdr:spPr>
        <a:xfrm>
          <a:off x="4454525" y="3409950"/>
          <a:ext cx="762794" cy="288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rial" panose="020B0604020202020204" pitchFamily="34" charset="0"/>
              <a:cs typeface="Arial" panose="020B0604020202020204" pitchFamily="34" charset="0"/>
            </a:rPr>
            <a:t>Year</a:t>
          </a:r>
        </a:p>
      </xdr:txBody>
    </xdr:sp>
    <xdr:clientData/>
  </xdr:twoCellAnchor>
  <xdr:twoCellAnchor>
    <xdr:from>
      <xdr:col>1</xdr:col>
      <xdr:colOff>516156</xdr:colOff>
      <xdr:row>10</xdr:row>
      <xdr:rowOff>104225</xdr:rowOff>
    </xdr:from>
    <xdr:to>
      <xdr:col>3</xdr:col>
      <xdr:colOff>147528</xdr:colOff>
      <xdr:row>12</xdr:row>
      <xdr:rowOff>69601</xdr:rowOff>
    </xdr:to>
    <xdr:sp macro="" textlink="">
      <xdr:nvSpPr>
        <xdr:cNvPr id="8" name="TextBox 7">
          <a:extLst>
            <a:ext uri="{FF2B5EF4-FFF2-40B4-BE49-F238E27FC236}">
              <a16:creationId xmlns:a16="http://schemas.microsoft.com/office/drawing/2014/main" id="{0CB3117A-11E7-4DA2-93D2-6FB34A731EDE}"/>
            </a:ext>
          </a:extLst>
        </xdr:cNvPr>
        <xdr:cNvSpPr txBox="1"/>
      </xdr:nvSpPr>
      <xdr:spPr>
        <a:xfrm>
          <a:off x="1116231" y="2075900"/>
          <a:ext cx="831522" cy="289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aseline="0">
              <a:latin typeface="Arial" panose="020B0604020202020204" pitchFamily="34" charset="0"/>
              <a:cs typeface="Arial" panose="020B0604020202020204" pitchFamily="34" charset="0"/>
            </a:rPr>
            <a:t>WWI</a:t>
          </a:r>
          <a:endParaRPr lang="en-US" sz="1050">
            <a:latin typeface="Arial" panose="020B0604020202020204" pitchFamily="34" charset="0"/>
            <a:cs typeface="Arial" panose="020B0604020202020204" pitchFamily="34" charset="0"/>
          </a:endParaRPr>
        </a:p>
      </xdr:txBody>
    </xdr:sp>
    <xdr:clientData/>
  </xdr:twoCellAnchor>
  <xdr:twoCellAnchor>
    <xdr:from>
      <xdr:col>7</xdr:col>
      <xdr:colOff>78719</xdr:colOff>
      <xdr:row>10</xdr:row>
      <xdr:rowOff>112109</xdr:rowOff>
    </xdr:from>
    <xdr:to>
      <xdr:col>8</xdr:col>
      <xdr:colOff>0</xdr:colOff>
      <xdr:row>13</xdr:row>
      <xdr:rowOff>52553</xdr:rowOff>
    </xdr:to>
    <xdr:sp macro="" textlink="">
      <xdr:nvSpPr>
        <xdr:cNvPr id="9" name="TextBox 8">
          <a:extLst>
            <a:ext uri="{FF2B5EF4-FFF2-40B4-BE49-F238E27FC236}">
              <a16:creationId xmlns:a16="http://schemas.microsoft.com/office/drawing/2014/main" id="{C2391A7A-A371-4252-ACEA-468529AD9BA8}"/>
            </a:ext>
          </a:extLst>
        </xdr:cNvPr>
        <xdr:cNvSpPr txBox="1"/>
      </xdr:nvSpPr>
      <xdr:spPr>
        <a:xfrm>
          <a:off x="4279244" y="2083784"/>
          <a:ext cx="521356" cy="426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aseline="0">
              <a:latin typeface="Arial" panose="020B0604020202020204" pitchFamily="34" charset="0"/>
              <a:cs typeface="Arial" panose="020B0604020202020204" pitchFamily="34" charset="0"/>
            </a:rPr>
            <a:t>WWII</a:t>
          </a:r>
          <a:endParaRPr lang="en-US" sz="1050">
            <a:latin typeface="Arial" panose="020B0604020202020204" pitchFamily="34" charset="0"/>
            <a:cs typeface="Arial" panose="020B0604020202020204" pitchFamily="34" charset="0"/>
          </a:endParaRPr>
        </a:p>
      </xdr:txBody>
    </xdr:sp>
    <xdr:clientData/>
  </xdr:twoCellAnchor>
  <xdr:oneCellAnchor>
    <xdr:from>
      <xdr:col>0</xdr:col>
      <xdr:colOff>637326</xdr:colOff>
      <xdr:row>27</xdr:row>
      <xdr:rowOff>149459</xdr:rowOff>
    </xdr:from>
    <xdr:ext cx="4625303" cy="2189724"/>
    <xdr:pic>
      <xdr:nvPicPr>
        <xdr:cNvPr id="10" name="Picture 9">
          <a:extLst>
            <a:ext uri="{FF2B5EF4-FFF2-40B4-BE49-F238E27FC236}">
              <a16:creationId xmlns:a16="http://schemas.microsoft.com/office/drawing/2014/main" id="{E9B5E406-E9EB-4D96-ABD9-39321223583A}"/>
            </a:ext>
          </a:extLst>
        </xdr:cNvPr>
        <xdr:cNvPicPr>
          <a:picLocks noChangeAspect="1"/>
        </xdr:cNvPicPr>
      </xdr:nvPicPr>
      <xdr:blipFill>
        <a:blip xmlns:r="http://schemas.openxmlformats.org/officeDocument/2006/relationships" r:embed="rId3"/>
        <a:stretch>
          <a:fillRect/>
        </a:stretch>
      </xdr:blipFill>
      <xdr:spPr>
        <a:xfrm>
          <a:off x="599226" y="4873859"/>
          <a:ext cx="4625303" cy="2189724"/>
        </a:xfrm>
        <a:prstGeom prst="rect">
          <a:avLst/>
        </a:prstGeom>
      </xdr:spPr>
    </xdr:pic>
    <xdr:clientData/>
  </xdr:oneCellAnchor>
  <xdr:twoCellAnchor editAs="oneCell">
    <xdr:from>
      <xdr:col>0</xdr:col>
      <xdr:colOff>569462</xdr:colOff>
      <xdr:row>20</xdr:row>
      <xdr:rowOff>117459</xdr:rowOff>
    </xdr:from>
    <xdr:to>
      <xdr:col>10</xdr:col>
      <xdr:colOff>358588</xdr:colOff>
      <xdr:row>23</xdr:row>
      <xdr:rowOff>16809</xdr:rowOff>
    </xdr:to>
    <xdr:pic>
      <xdr:nvPicPr>
        <xdr:cNvPr id="11" name="Picture 10">
          <a:extLst>
            <a:ext uri="{FF2B5EF4-FFF2-40B4-BE49-F238E27FC236}">
              <a16:creationId xmlns:a16="http://schemas.microsoft.com/office/drawing/2014/main" id="{45218D19-A088-4F73-AB7F-D39F50716E63}"/>
            </a:ext>
          </a:extLst>
        </xdr:cNvPr>
        <xdr:cNvPicPr>
          <a:picLocks noChangeAspect="1"/>
        </xdr:cNvPicPr>
      </xdr:nvPicPr>
      <xdr:blipFill>
        <a:blip xmlns:r="http://schemas.openxmlformats.org/officeDocument/2006/relationships" r:embed="rId4"/>
        <a:stretch>
          <a:fillRect/>
        </a:stretch>
      </xdr:blipFill>
      <xdr:spPr>
        <a:xfrm>
          <a:off x="569462" y="3708384"/>
          <a:ext cx="5789876" cy="385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132483</xdr:colOff>
      <xdr:row>14</xdr:row>
      <xdr:rowOff>56137</xdr:rowOff>
    </xdr:from>
    <xdr:to>
      <xdr:col>14</xdr:col>
      <xdr:colOff>303934</xdr:colOff>
      <xdr:row>40</xdr:row>
      <xdr:rowOff>111991</xdr:rowOff>
    </xdr:to>
    <xdr:graphicFrame macro="">
      <xdr:nvGraphicFramePr>
        <xdr:cNvPr id="2" name="Chart 1">
          <a:extLst>
            <a:ext uri="{FF2B5EF4-FFF2-40B4-BE49-F238E27FC236}">
              <a16:creationId xmlns:a16="http://schemas.microsoft.com/office/drawing/2014/main" id="{0AADBF32-B014-4FEF-9FDF-EBEBC9F6E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564874</xdr:colOff>
      <xdr:row>33</xdr:row>
      <xdr:rowOff>72986</xdr:rowOff>
    </xdr:from>
    <xdr:to>
      <xdr:col>7</xdr:col>
      <xdr:colOff>100012</xdr:colOff>
      <xdr:row>52</xdr:row>
      <xdr:rowOff>156097</xdr:rowOff>
    </xdr:to>
    <xdr:grpSp>
      <xdr:nvGrpSpPr>
        <xdr:cNvPr id="2" name="Group 1">
          <a:extLst>
            <a:ext uri="{FF2B5EF4-FFF2-40B4-BE49-F238E27FC236}">
              <a16:creationId xmlns:a16="http://schemas.microsoft.com/office/drawing/2014/main" id="{0B4991BF-09C0-4DBC-96D0-14A53C006FEB}"/>
            </a:ext>
          </a:extLst>
        </xdr:cNvPr>
        <xdr:cNvGrpSpPr/>
      </xdr:nvGrpSpPr>
      <xdr:grpSpPr>
        <a:xfrm>
          <a:off x="564874" y="5445086"/>
          <a:ext cx="3802338" cy="3159686"/>
          <a:chOff x="745850" y="5073610"/>
          <a:chExt cx="4069038" cy="3159686"/>
        </a:xfrm>
      </xdr:grpSpPr>
      <xdr:graphicFrame macro="">
        <xdr:nvGraphicFramePr>
          <xdr:cNvPr id="3" name="Chart 2">
            <a:extLst>
              <a:ext uri="{FF2B5EF4-FFF2-40B4-BE49-F238E27FC236}">
                <a16:creationId xmlns:a16="http://schemas.microsoft.com/office/drawing/2014/main" id="{46BE12A2-A8EE-7540-FE71-9D79FD26CBA9}"/>
              </a:ext>
            </a:extLst>
          </xdr:cNvPr>
          <xdr:cNvGraphicFramePr>
            <a:graphicFrameLocks/>
          </xdr:cNvGraphicFramePr>
        </xdr:nvGraphicFramePr>
        <xdr:xfrm>
          <a:off x="745850" y="5073610"/>
          <a:ext cx="4069038" cy="3159686"/>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A2FD3E7D-DAAE-07EB-D081-F03AA6CDB0CB}"/>
              </a:ext>
            </a:extLst>
          </xdr:cNvPr>
          <xdr:cNvPicPr>
            <a:picLocks noChangeAspect="1"/>
          </xdr:cNvPicPr>
        </xdr:nvPicPr>
        <xdr:blipFill rotWithShape="1">
          <a:blip xmlns:r="http://schemas.openxmlformats.org/officeDocument/2006/relationships" r:embed="rId2"/>
          <a:srcRect b="4038"/>
          <a:stretch/>
        </xdr:blipFill>
        <xdr:spPr>
          <a:xfrm>
            <a:off x="2090736" y="5888412"/>
            <a:ext cx="1466393" cy="1496461"/>
          </a:xfrm>
          <a:prstGeom prst="rect">
            <a:avLst/>
          </a:prstGeom>
        </xdr:spPr>
      </xdr:pic>
    </xdr:grpSp>
    <xdr:clientData/>
  </xdr:twoCellAnchor>
  <xdr:oneCellAnchor>
    <xdr:from>
      <xdr:col>1</xdr:col>
      <xdr:colOff>325944</xdr:colOff>
      <xdr:row>2</xdr:row>
      <xdr:rowOff>102486</xdr:rowOff>
    </xdr:from>
    <xdr:ext cx="3602934" cy="2912176"/>
    <xdr:pic>
      <xdr:nvPicPr>
        <xdr:cNvPr id="5" name="Picture 4">
          <a:extLst>
            <a:ext uri="{FF2B5EF4-FFF2-40B4-BE49-F238E27FC236}">
              <a16:creationId xmlns:a16="http://schemas.microsoft.com/office/drawing/2014/main" id="{C7E4FB2E-80D4-4544-B43B-36A35B8B7356}"/>
            </a:ext>
          </a:extLst>
        </xdr:cNvPr>
        <xdr:cNvPicPr>
          <a:picLocks noChangeAspect="1"/>
        </xdr:cNvPicPr>
      </xdr:nvPicPr>
      <xdr:blipFill>
        <a:blip xmlns:r="http://schemas.openxmlformats.org/officeDocument/2006/relationships" r:embed="rId3"/>
        <a:stretch>
          <a:fillRect/>
        </a:stretch>
      </xdr:blipFill>
      <xdr:spPr>
        <a:xfrm>
          <a:off x="935544" y="454911"/>
          <a:ext cx="3602934" cy="2912176"/>
        </a:xfrm>
        <a:prstGeom prst="rect">
          <a:avLst/>
        </a:prstGeom>
      </xdr:spPr>
    </xdr:pic>
    <xdr:clientData/>
  </xdr:oneCellAnchor>
  <xdr:twoCellAnchor>
    <xdr:from>
      <xdr:col>1</xdr:col>
      <xdr:colOff>394728</xdr:colOff>
      <xdr:row>21</xdr:row>
      <xdr:rowOff>29976</xdr:rowOff>
    </xdr:from>
    <xdr:to>
      <xdr:col>7</xdr:col>
      <xdr:colOff>71998</xdr:colOff>
      <xdr:row>31</xdr:row>
      <xdr:rowOff>4762</xdr:rowOff>
    </xdr:to>
    <xdr:sp macro="" textlink="">
      <xdr:nvSpPr>
        <xdr:cNvPr id="6" name="TextBox 5">
          <a:extLst>
            <a:ext uri="{FF2B5EF4-FFF2-40B4-BE49-F238E27FC236}">
              <a16:creationId xmlns:a16="http://schemas.microsoft.com/office/drawing/2014/main" id="{90D9998C-CBA3-4078-84E9-05A0EB1AA21E}"/>
            </a:ext>
          </a:extLst>
        </xdr:cNvPr>
        <xdr:cNvSpPr txBox="1"/>
      </xdr:nvSpPr>
      <xdr:spPr>
        <a:xfrm>
          <a:off x="1004328" y="3458976"/>
          <a:ext cx="3334870" cy="15940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Source: IMF staff calculations using the World Economic Outlook database.</a:t>
          </a:r>
        </a:p>
        <a:p>
          <a:r>
            <a:rPr lang="en-US" sz="1000">
              <a:solidFill>
                <a:schemeClr val="dk1"/>
              </a:solidFill>
              <a:effectLst/>
              <a:latin typeface="Arial" panose="020B0604020202020204" pitchFamily="34" charset="0"/>
              <a:ea typeface="+mn-ea"/>
              <a:cs typeface="Arial" panose="020B0604020202020204" pitchFamily="34" charset="0"/>
            </a:rPr>
            <a:t>Note: Blue dots represent advanced economies. Red</a:t>
          </a:r>
        </a:p>
        <a:p>
          <a:r>
            <a:rPr lang="en-US" sz="1000">
              <a:solidFill>
                <a:schemeClr val="dk1"/>
              </a:solidFill>
              <a:effectLst/>
              <a:latin typeface="Arial" panose="020B0604020202020204" pitchFamily="34" charset="0"/>
              <a:ea typeface="+mn-ea"/>
              <a:cs typeface="Arial" panose="020B0604020202020204" pitchFamily="34" charset="0"/>
            </a:rPr>
            <a:t>diamonds represent emerging market economies. Core</a:t>
          </a:r>
        </a:p>
        <a:p>
          <a:r>
            <a:rPr lang="en-US" sz="1000">
              <a:solidFill>
                <a:schemeClr val="dk1"/>
              </a:solidFill>
              <a:effectLst/>
              <a:latin typeface="Arial" panose="020B0604020202020204" pitchFamily="34" charset="0"/>
              <a:ea typeface="+mn-ea"/>
              <a:cs typeface="Arial" panose="020B0604020202020204" pitchFamily="34" charset="0"/>
            </a:rPr>
            <a:t>inflation differential = core inflation in 2022 minus core</a:t>
          </a:r>
        </a:p>
        <a:p>
          <a:r>
            <a:rPr lang="en-US" sz="1000">
              <a:solidFill>
                <a:schemeClr val="dk1"/>
              </a:solidFill>
              <a:effectLst/>
              <a:latin typeface="Arial" panose="020B0604020202020204" pitchFamily="34" charset="0"/>
              <a:ea typeface="+mn-ea"/>
              <a:cs typeface="Arial" panose="020B0604020202020204" pitchFamily="34" charset="0"/>
            </a:rPr>
            <a:t>inflation in 2019. Real primary spending differential = real</a:t>
          </a:r>
        </a:p>
        <a:p>
          <a:r>
            <a:rPr lang="en-US" sz="1000">
              <a:solidFill>
                <a:schemeClr val="dk1"/>
              </a:solidFill>
              <a:effectLst/>
              <a:latin typeface="Arial" panose="020B0604020202020204" pitchFamily="34" charset="0"/>
              <a:ea typeface="+mn-ea"/>
              <a:cs typeface="Arial" panose="020B0604020202020204" pitchFamily="34" charset="0"/>
            </a:rPr>
            <a:t>primary spending in 2022 divided by real primary spending</a:t>
          </a:r>
        </a:p>
        <a:p>
          <a:r>
            <a:rPr lang="en-US" sz="1000">
              <a:solidFill>
                <a:schemeClr val="dk1"/>
              </a:solidFill>
              <a:effectLst/>
              <a:latin typeface="Arial" panose="020B0604020202020204" pitchFamily="34" charset="0"/>
              <a:ea typeface="+mn-ea"/>
              <a:cs typeface="Arial" panose="020B0604020202020204" pitchFamily="34" charset="0"/>
            </a:rPr>
            <a:t>in 2019. Data labels in the figure use International</a:t>
          </a:r>
        </a:p>
        <a:p>
          <a:r>
            <a:rPr lang="en-US" sz="1000">
              <a:solidFill>
                <a:schemeClr val="dk1"/>
              </a:solidFill>
              <a:effectLst/>
              <a:latin typeface="Arial" panose="020B0604020202020204" pitchFamily="34" charset="0"/>
              <a:ea typeface="+mn-ea"/>
              <a:cs typeface="Arial" panose="020B0604020202020204" pitchFamily="34" charset="0"/>
            </a:rPr>
            <a:t>Organization for Standardization (ISO) country codes.</a:t>
          </a:r>
          <a:endParaRPr lang="en-US" sz="1000">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41</xdr:row>
      <xdr:rowOff>38098</xdr:rowOff>
    </xdr:from>
    <xdr:to>
      <xdr:col>12</xdr:col>
      <xdr:colOff>1000126</xdr:colOff>
      <xdr:row>54</xdr:row>
      <xdr:rowOff>109904</xdr:rowOff>
    </xdr:to>
    <xdr:sp macro="" textlink="">
      <xdr:nvSpPr>
        <xdr:cNvPr id="2" name="TextBox 1">
          <a:extLst>
            <a:ext uri="{FF2B5EF4-FFF2-40B4-BE49-F238E27FC236}">
              <a16:creationId xmlns:a16="http://schemas.microsoft.com/office/drawing/2014/main" id="{F0333F66-DCFF-4665-93E0-37AD00C70C20}"/>
            </a:ext>
          </a:extLst>
        </xdr:cNvPr>
        <xdr:cNvSpPr txBox="1"/>
      </xdr:nvSpPr>
      <xdr:spPr>
        <a:xfrm>
          <a:off x="0" y="7924798"/>
          <a:ext cx="11610976" cy="2110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ysClr val="windowText" lastClr="000000"/>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on the basis of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 2014). These pension spending projections may be different from the previous edition of the </a:t>
          </a:r>
          <a:r>
            <a:rPr lang="en-US" sz="800" i="1">
              <a:solidFill>
                <a:sysClr val="windowText" lastClr="000000"/>
              </a:solidFill>
              <a:latin typeface="Arial" pitchFamily="34" charset="0"/>
              <a:ea typeface="+mn-ea"/>
              <a:cs typeface="Arial" pitchFamily="34" charset="0"/>
            </a:rPr>
            <a:t>Fiscal Monitor </a:t>
          </a:r>
          <a:r>
            <a:rPr lang="en-US" sz="800">
              <a:solidFill>
                <a:sysClr val="windowText" lastClr="000000"/>
              </a:solidFill>
              <a:latin typeface="Arial" pitchFamily="34" charset="0"/>
              <a:ea typeface="+mn-ea"/>
              <a:cs typeface="Arial" pitchFamily="34" charset="0"/>
            </a:rPr>
            <a:t>because of new baseline pension numbers, new authorities’ projections, or updated demographic data from the UN World Population Prospects.</a:t>
          </a: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(0.6 percent). </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effectLst/>
              <a:latin typeface="+mn-lt"/>
              <a:ea typeface="+mn-ea"/>
              <a:cs typeface="+mn-cs"/>
            </a:rPr>
            <a:t>3b</a:t>
          </a:r>
          <a:r>
            <a:rPr lang="en-US" sz="1100" b="0" i="0" baseline="30000">
              <a:solidFill>
                <a:schemeClr val="dk1"/>
              </a:solidFill>
              <a:effectLst/>
              <a:latin typeface="+mn-lt"/>
              <a:ea typeface="+mn-ea"/>
              <a:cs typeface="+mn-cs"/>
            </a:rPr>
            <a:t> </a:t>
          </a:r>
          <a:r>
            <a:rPr lang="en-US" sz="800" b="0" i="0" u="none" strike="noStrike">
              <a:solidFill>
                <a:sysClr val="windowText" lastClr="000000"/>
              </a:solidFill>
              <a:latin typeface="Arial" pitchFamily="34" charset="0"/>
              <a:ea typeface="+mn-ea"/>
              <a:cs typeface="Arial" pitchFamily="34" charset="0"/>
            </a:rPr>
            <a:t>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2023.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 </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the</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first quarter of 2023</a:t>
          </a:r>
          <a:r>
            <a:rPr lang="en-US" sz="800" baseline="0">
              <a:solidFill>
                <a:sysClr val="windowText" lastClr="000000"/>
              </a:solidFill>
              <a:latin typeface="Arial" pitchFamily="34" charset="0"/>
              <a:cs typeface="Arial" pitchFamily="34" charset="0"/>
            </a:rPr>
            <a:t> </a:t>
          </a:r>
          <a:r>
            <a:rPr lang="en-US" sz="800">
              <a:solidFill>
                <a:sysClr val="windowText" lastClr="000000"/>
              </a:solidFill>
              <a:latin typeface="Arial" pitchFamily="34" charset="0"/>
              <a:cs typeface="Arial" pitchFamily="34" charset="0"/>
            </a:rPr>
            <a:t>or latest available from the Joint External Debt Hub, Quarterly External Debt Statistics, which include marketable and nonmarketable debt. For some economies, tradable instruments in the Joint</a:t>
          </a:r>
          <a:r>
            <a:rPr lang="en-US" sz="800" baseline="0">
              <a:solidFill>
                <a:sysClr val="windowText" lastClr="000000"/>
              </a:solidFill>
              <a:latin typeface="Arial" pitchFamily="34" charset="0"/>
              <a:cs typeface="Arial" pitchFamily="34" charset="0"/>
            </a:rPr>
            <a:t> External Debt Hub</a:t>
          </a:r>
          <a:r>
            <a:rPr lang="en-US" sz="800">
              <a:solidFill>
                <a:sysClr val="windowText" lastClr="000000"/>
              </a:solidFill>
              <a:latin typeface="Arial" pitchFamily="34" charset="0"/>
              <a:cs typeface="Arial" pitchFamily="34" charset="0"/>
            </a:rPr>
            <a:t> are reported at market value. External debt in US dollars is converted to local currency, then taken as a percentage of the 2022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 issued to deepen the domestic</a:t>
          </a:r>
          <a:r>
            <a:rPr lang="en-US" sz="800" b="0" i="0" u="none" strike="noStrike" baseline="0">
              <a:solidFill>
                <a:sysClr val="windowText" lastClr="000000"/>
              </a:solidFill>
              <a:latin typeface="Arial" pitchFamily="34" charset="0"/>
              <a:ea typeface="+mn-ea"/>
              <a:cs typeface="Arial" pitchFamily="34" charset="0"/>
            </a:rPr>
            <a:t> market, meet the Central Provident Fund’s investment needs, and provide individuals with a long-term savings option. </a:t>
          </a:r>
        </a:p>
        <a:p>
          <a:pPr algn="l"/>
          <a:r>
            <a:rPr lang="en-US" sz="800" i="0" baseline="30000">
              <a:solidFill>
                <a:sysClr val="windowText" lastClr="000000"/>
              </a:solidFill>
              <a:latin typeface="Arial" pitchFamily="34" charset="0"/>
              <a:cs typeface="Arial" pitchFamily="34" charset="0"/>
            </a:rPr>
            <a:t>8</a:t>
          </a:r>
          <a:r>
            <a:rPr lang="en-US" sz="800" i="0">
              <a:solidFill>
                <a:sysClr val="windowText" lastClr="000000"/>
              </a:solidFill>
              <a:latin typeface="Arial" pitchFamily="34" charset="0"/>
              <a:cs typeface="Arial" pitchFamily="34" charset="0"/>
            </a:rPr>
            <a:t> In the case of all EU members, including Slovakia, pension spending projections reflect the estimates published in the latest available Aging Report. Reforms and changes in methodology or assumptions between Aging Report vintages are not incorporated into the </a:t>
          </a:r>
          <a:r>
            <a:rPr lang="en-US" sz="800" i="1">
              <a:solidFill>
                <a:sysClr val="windowText" lastClr="000000"/>
              </a:solidFill>
              <a:latin typeface="Arial" pitchFamily="34" charset="0"/>
              <a:cs typeface="Arial" pitchFamily="34" charset="0"/>
            </a:rPr>
            <a:t>Fiscal Monitor </a:t>
          </a:r>
          <a:r>
            <a:rPr lang="en-US" sz="800" i="0">
              <a:solidFill>
                <a:sysClr val="windowText" lastClr="000000"/>
              </a:solidFill>
              <a:latin typeface="Arial" pitchFamily="34" charset="0"/>
              <a:cs typeface="Arial" pitchFamily="34" charset="0"/>
            </a:rPr>
            <a:t>annexes.</a:t>
          </a:r>
        </a:p>
        <a:p>
          <a:pPr algn="l"/>
          <a:r>
            <a:rPr lang="en-US" sz="800" i="0">
              <a:solidFill>
                <a:sysClr val="windowText" lastClr="000000"/>
              </a:solidFill>
              <a:latin typeface="Arial" pitchFamily="34" charset="0"/>
              <a:cs typeface="Arial" pitchFamily="34" charset="0"/>
            </a:rPr>
            <a:t>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19049</xdr:colOff>
      <xdr:row>46</xdr:row>
      <xdr:rowOff>51857</xdr:rowOff>
    </xdr:from>
    <xdr:to>
      <xdr:col>12</xdr:col>
      <xdr:colOff>1123950</xdr:colOff>
      <xdr:row>60</xdr:row>
      <xdr:rowOff>95251</xdr:rowOff>
    </xdr:to>
    <xdr:sp macro="" textlink="">
      <xdr:nvSpPr>
        <xdr:cNvPr id="2" name="TextBox 1">
          <a:extLst>
            <a:ext uri="{FF2B5EF4-FFF2-40B4-BE49-F238E27FC236}">
              <a16:creationId xmlns:a16="http://schemas.microsoft.com/office/drawing/2014/main" id="{67B6A0B5-CA6F-4DDE-AA2D-4A140FB4B000}"/>
            </a:ext>
          </a:extLst>
        </xdr:cNvPr>
        <xdr:cNvSpPr txBox="1"/>
      </xdr:nvSpPr>
      <xdr:spPr>
        <a:xfrm>
          <a:off x="19049" y="8814857"/>
          <a:ext cx="11544301" cy="2234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on the basis of data availability.</a:t>
          </a:r>
          <a:endParaRPr lang="en-US" sz="80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may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because of new baseline pension numbers, new authorities’ projections, or updated demographic data from the UN World Population Prospects.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be the income group historical average (1.2 percent).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a:ln>
                <a:noFill/>
              </a:ln>
              <a:solidFill>
                <a:sysClr val="windowText" lastClr="000000"/>
              </a:solidFill>
              <a:effectLst/>
              <a:uLnTx/>
              <a:uFillTx/>
              <a:latin typeface="Arial" pitchFamily="34" charset="0"/>
              <a:ea typeface="+mn-ea"/>
              <a:cs typeface="Arial" pitchFamily="34" charset="0"/>
            </a:rPr>
            <a:t>3b</a:t>
          </a:r>
          <a:r>
            <a:rPr lang="en-US" sz="800" b="0" i="0" u="none" strike="noStrike">
              <a:solidFill>
                <a:sysClr val="windowText" lastClr="000000"/>
              </a:solidFill>
              <a:latin typeface="Arial" pitchFamily="34" charset="0"/>
              <a:ea typeface="+mn-ea"/>
              <a:cs typeface="Arial" pitchFamily="34" charset="0"/>
            </a:rPr>
            <a:t> 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2023.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first quarter of 2023</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Joint External Debt Hub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2022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7</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Note that the pension spending projections reported in the first and second column do not include savings from the pension reform approved in October 2019.</a:t>
          </a:r>
        </a:p>
        <a:p>
          <a:pPr algn="l"/>
          <a:r>
            <a:rPr lang="en-US" sz="800" b="0" i="0" u="none" strike="noStrike" baseline="30000">
              <a:solidFill>
                <a:sysClr val="windowText" lastClr="000000"/>
              </a:solidFill>
              <a:latin typeface="Arial" pitchFamily="34" charset="0"/>
              <a:ea typeface="+mn-ea"/>
              <a:cs typeface="Arial" pitchFamily="34" charset="0"/>
            </a:rPr>
            <a:t>8</a:t>
          </a:r>
          <a:r>
            <a:rPr lang="en-US" sz="800" b="0" i="0" u="none" strike="noStrike">
              <a:solidFill>
                <a:sysClr val="windowText" lastClr="000000"/>
              </a:solidFill>
              <a:latin typeface="Arial" pitchFamily="34" charset="0"/>
              <a:ea typeface="+mn-ea"/>
              <a:cs typeface="Arial" pitchFamily="34" charset="0"/>
            </a:rPr>
            <a:t> The average-term-to-maturity data for Türkiye</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July 2022.</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9</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a:t>
          </a: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45</xdr:row>
      <xdr:rowOff>38100</xdr:rowOff>
    </xdr:from>
    <xdr:to>
      <xdr:col>13</xdr:col>
      <xdr:colOff>57150</xdr:colOff>
      <xdr:row>56</xdr:row>
      <xdr:rowOff>86591</xdr:rowOff>
    </xdr:to>
    <xdr:sp macro="" textlink="">
      <xdr:nvSpPr>
        <xdr:cNvPr id="2" name="TextBox 1">
          <a:extLst>
            <a:ext uri="{FF2B5EF4-FFF2-40B4-BE49-F238E27FC236}">
              <a16:creationId xmlns:a16="http://schemas.microsoft.com/office/drawing/2014/main" id="{0FC08949-CEDE-4E0D-B88A-7FFC2F2C60C7}"/>
            </a:ext>
          </a:extLst>
        </xdr:cNvPr>
        <xdr:cNvSpPr txBox="1"/>
      </xdr:nvSpPr>
      <xdr:spPr>
        <a:xfrm>
          <a:off x="0" y="8620125"/>
          <a:ext cx="11410950" cy="160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on the basis of data availability. </a:t>
          </a:r>
          <a:endParaRPr lang="en-US" sz="800" i="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may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because of new baseline pension numbers, new authorities’ projections, or updated demographic data from the UN World Population Prospects.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be the income group historical average (1.2 percent).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3b</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The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Nonresident holding of general government debt data are for the first quarter of 2023 or latest available from the Joint External Debt Hub, Quarterly External Debt Statistics, which include marketable and nonmarketable debt. For some countries, tradable instruments in the Joint External Debt Hub are reported at market value. External debt in US dollars is converted to local currency, then taken as a percentage of 2022 gross general government debt.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536574</xdr:colOff>
      <xdr:row>17</xdr:row>
      <xdr:rowOff>107949</xdr:rowOff>
    </xdr:from>
    <xdr:to>
      <xdr:col>9</xdr:col>
      <xdr:colOff>514350</xdr:colOff>
      <xdr:row>44</xdr:row>
      <xdr:rowOff>38099</xdr:rowOff>
    </xdr:to>
    <xdr:graphicFrame macro="">
      <xdr:nvGraphicFramePr>
        <xdr:cNvPr id="2" name="Chart 1">
          <a:extLst>
            <a:ext uri="{FF2B5EF4-FFF2-40B4-BE49-F238E27FC236}">
              <a16:creationId xmlns:a16="http://schemas.microsoft.com/office/drawing/2014/main" id="{BD2C283D-F734-42B5-B3DD-4567A71E8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xdr:colOff>
      <xdr:row>17</xdr:row>
      <xdr:rowOff>32217</xdr:rowOff>
    </xdr:from>
    <xdr:to>
      <xdr:col>55</xdr:col>
      <xdr:colOff>582706</xdr:colOff>
      <xdr:row>45</xdr:row>
      <xdr:rowOff>102954</xdr:rowOff>
    </xdr:to>
    <xdr:graphicFrame macro="">
      <xdr:nvGraphicFramePr>
        <xdr:cNvPr id="3" name="Chart 2">
          <a:extLst>
            <a:ext uri="{FF2B5EF4-FFF2-40B4-BE49-F238E27FC236}">
              <a16:creationId xmlns:a16="http://schemas.microsoft.com/office/drawing/2014/main" id="{78BDBB26-EFE1-4FF2-8140-0972368CB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16</xdr:row>
      <xdr:rowOff>0</xdr:rowOff>
    </xdr:from>
    <xdr:to>
      <xdr:col>27</xdr:col>
      <xdr:colOff>23813</xdr:colOff>
      <xdr:row>45</xdr:row>
      <xdr:rowOff>11906</xdr:rowOff>
    </xdr:to>
    <xdr:graphicFrame macro="">
      <xdr:nvGraphicFramePr>
        <xdr:cNvPr id="4" name="Chart 3">
          <a:extLst>
            <a:ext uri="{FF2B5EF4-FFF2-40B4-BE49-F238E27FC236}">
              <a16:creationId xmlns:a16="http://schemas.microsoft.com/office/drawing/2014/main" id="{94D140BE-73C4-4A5E-BA0C-45126D7C5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219076</xdr:colOff>
      <xdr:row>6</xdr:row>
      <xdr:rowOff>95250</xdr:rowOff>
    </xdr:from>
    <xdr:to>
      <xdr:col>24</xdr:col>
      <xdr:colOff>281609</xdr:colOff>
      <xdr:row>28</xdr:row>
      <xdr:rowOff>9525</xdr:rowOff>
    </xdr:to>
    <xdr:graphicFrame macro="">
      <xdr:nvGraphicFramePr>
        <xdr:cNvPr id="2" name="Chart 1">
          <a:extLst>
            <a:ext uri="{FF2B5EF4-FFF2-40B4-BE49-F238E27FC236}">
              <a16:creationId xmlns:a16="http://schemas.microsoft.com/office/drawing/2014/main" id="{4776D9A4-ECE1-4450-851C-98516B3BE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153865</xdr:colOff>
      <xdr:row>6</xdr:row>
      <xdr:rowOff>124558</xdr:rowOff>
    </xdr:from>
    <xdr:to>
      <xdr:col>6</xdr:col>
      <xdr:colOff>117230</xdr:colOff>
      <xdr:row>21</xdr:row>
      <xdr:rowOff>65942</xdr:rowOff>
    </xdr:to>
    <xdr:graphicFrame macro="">
      <xdr:nvGraphicFramePr>
        <xdr:cNvPr id="2" name="Chart 1">
          <a:extLst>
            <a:ext uri="{FF2B5EF4-FFF2-40B4-BE49-F238E27FC236}">
              <a16:creationId xmlns:a16="http://schemas.microsoft.com/office/drawing/2014/main" id="{6D393534-C307-4F3F-BA2C-39734832B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148002</xdr:colOff>
      <xdr:row>6</xdr:row>
      <xdr:rowOff>48299</xdr:rowOff>
    </xdr:from>
    <xdr:to>
      <xdr:col>11</xdr:col>
      <xdr:colOff>193073</xdr:colOff>
      <xdr:row>21</xdr:row>
      <xdr:rowOff>66676</xdr:rowOff>
    </xdr:to>
    <xdr:graphicFrame macro="">
      <xdr:nvGraphicFramePr>
        <xdr:cNvPr id="3" name="Chart 2">
          <a:extLst>
            <a:ext uri="{FF2B5EF4-FFF2-40B4-BE49-F238E27FC236}">
              <a16:creationId xmlns:a16="http://schemas.microsoft.com/office/drawing/2014/main" id="{93F649BE-76E5-4AE8-815E-CC888D5F8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307733</xdr:colOff>
      <xdr:row>6</xdr:row>
      <xdr:rowOff>69200</xdr:rowOff>
    </xdr:from>
    <xdr:to>
      <xdr:col>16</xdr:col>
      <xdr:colOff>218343</xdr:colOff>
      <xdr:row>21</xdr:row>
      <xdr:rowOff>77666</xdr:rowOff>
    </xdr:to>
    <xdr:graphicFrame macro="">
      <xdr:nvGraphicFramePr>
        <xdr:cNvPr id="4" name="Chart 3">
          <a:extLst>
            <a:ext uri="{FF2B5EF4-FFF2-40B4-BE49-F238E27FC236}">
              <a16:creationId xmlns:a16="http://schemas.microsoft.com/office/drawing/2014/main" id="{02EF5639-BBF4-4C9C-91F7-54AEAAEF4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152399</xdr:colOff>
      <xdr:row>4</xdr:row>
      <xdr:rowOff>142875</xdr:rowOff>
    </xdr:from>
    <xdr:to>
      <xdr:col>6</xdr:col>
      <xdr:colOff>579119</xdr:colOff>
      <xdr:row>6</xdr:row>
      <xdr:rowOff>133349</xdr:rowOff>
    </xdr:to>
    <xdr:sp macro="" textlink="">
      <xdr:nvSpPr>
        <xdr:cNvPr id="5" name="TextBox 4">
          <a:extLst>
            <a:ext uri="{FF2B5EF4-FFF2-40B4-BE49-F238E27FC236}">
              <a16:creationId xmlns:a16="http://schemas.microsoft.com/office/drawing/2014/main" id="{387F9646-BCCE-438F-8BD7-C72FCB7754DB}"/>
            </a:ext>
          </a:extLst>
        </xdr:cNvPr>
        <xdr:cNvSpPr txBox="1"/>
      </xdr:nvSpPr>
      <xdr:spPr>
        <a:xfrm>
          <a:off x="761999" y="914400"/>
          <a:ext cx="380809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1. Advanced Economies</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5</xdr:col>
      <xdr:colOff>390524</xdr:colOff>
      <xdr:row>4</xdr:row>
      <xdr:rowOff>123825</xdr:rowOff>
    </xdr:from>
    <xdr:to>
      <xdr:col>11</xdr:col>
      <xdr:colOff>207644</xdr:colOff>
      <xdr:row>6</xdr:row>
      <xdr:rowOff>114299</xdr:rowOff>
    </xdr:to>
    <xdr:sp macro="" textlink="">
      <xdr:nvSpPr>
        <xdr:cNvPr id="6" name="TextBox 5">
          <a:extLst>
            <a:ext uri="{FF2B5EF4-FFF2-40B4-BE49-F238E27FC236}">
              <a16:creationId xmlns:a16="http://schemas.microsoft.com/office/drawing/2014/main" id="{8095D373-C0C5-45C3-BC1D-42AB1030ACCA}"/>
            </a:ext>
          </a:extLst>
        </xdr:cNvPr>
        <xdr:cNvSpPr txBox="1"/>
      </xdr:nvSpPr>
      <xdr:spPr>
        <a:xfrm>
          <a:off x="3819524" y="895350"/>
          <a:ext cx="325564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2. Emerging</a:t>
          </a:r>
          <a:r>
            <a:rPr lang="en-US" sz="900" b="1" baseline="0">
              <a:solidFill>
                <a:schemeClr val="tx1"/>
              </a:solidFill>
              <a:latin typeface="HelveticaNeueLT Std" panose="020B0604020202020204" pitchFamily="34" charset="0"/>
              <a:cs typeface="Arial" panose="020B0604020202020204" pitchFamily="34" charset="0"/>
            </a:rPr>
            <a:t> Markets </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11</xdr:col>
      <xdr:colOff>419099</xdr:colOff>
      <xdr:row>4</xdr:row>
      <xdr:rowOff>142875</xdr:rowOff>
    </xdr:from>
    <xdr:to>
      <xdr:col>15</xdr:col>
      <xdr:colOff>457200</xdr:colOff>
      <xdr:row>6</xdr:row>
      <xdr:rowOff>133349</xdr:rowOff>
    </xdr:to>
    <xdr:sp macro="" textlink="">
      <xdr:nvSpPr>
        <xdr:cNvPr id="7" name="TextBox 6">
          <a:extLst>
            <a:ext uri="{FF2B5EF4-FFF2-40B4-BE49-F238E27FC236}">
              <a16:creationId xmlns:a16="http://schemas.microsoft.com/office/drawing/2014/main" id="{88364A16-5D85-4FB6-B652-AA3F786169D5}"/>
            </a:ext>
          </a:extLst>
        </xdr:cNvPr>
        <xdr:cNvSpPr txBox="1"/>
      </xdr:nvSpPr>
      <xdr:spPr>
        <a:xfrm>
          <a:off x="7286624" y="914400"/>
          <a:ext cx="2476501"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3. Low-Income Developing Countries</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142875</xdr:colOff>
      <xdr:row>8</xdr:row>
      <xdr:rowOff>76200</xdr:rowOff>
    </xdr:from>
    <xdr:to>
      <xdr:col>17</xdr:col>
      <xdr:colOff>209550</xdr:colOff>
      <xdr:row>29</xdr:row>
      <xdr:rowOff>80963</xdr:rowOff>
    </xdr:to>
    <xdr:graphicFrame macro="">
      <xdr:nvGraphicFramePr>
        <xdr:cNvPr id="2" name="Chart 1">
          <a:extLst>
            <a:ext uri="{FF2B5EF4-FFF2-40B4-BE49-F238E27FC236}">
              <a16:creationId xmlns:a16="http://schemas.microsoft.com/office/drawing/2014/main" id="{B2CFF361-6C6B-4F24-BE5B-72A4D648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imf.org/DATA/FP/JG/CDS-BondYields/IN_Markit%20SovereignCDS_010611.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3\users3\Users\skaendera\AppData\Local\Microsoft\Windows\Temporary%20Internet%20Files\Content.Outlook\TE2QIHXV\2000GDP\Privatization%20receipts%20from%20WB%20data%20base_10.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Users\dzakharova\AppData\Local\Temp\Temp1_EUR.zip\EUR\RU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tables_for_report%20-%20for%20DMX.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intlmonetaryfund.sharepoint.com/cthevenot/My%20Documents/Inequality/F&amp;D%20paper/Expenditure_by_Functions_of_Governm%20and%20outcomes.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Expenditure_by_Functions_of_Governm%20and%20outcomes.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2\apd\Data\HKG\REAL\gdp_qtr.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intlmonetaryfund.sharepoint.com/cthevenot/My%20Documents/Inequality/F&amp;D%20paper/data/figur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data\figure.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DATA\N2\EST\REP\BR_05_May\Fiscal_Monetary_LaborS%20Graphs%20for%20Pre%20Brief.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Fpsswn05d\med\DATA\JOR\DATA\PA\CHL\SECTORS\BOP\Bop020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pt5s\tre1\WEEKLY\Production\weekly%20report--%20INTERNA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DATA\ML\DOM\real\real\esta_turistica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3\users3\DATA\EP\Matias\Databases\Social_security\descriptive\charts%20welfare+pension_vs4.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Users\PNavalgundkar\Desktop\TADAT\tadat-isora(AutoRecovere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www.imf.org/DATA/FP/JG/CDS-BondYields/CDS_History_IMF_Custom_11091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3\users3\DATA\EP\Public%20Capital\Abdoul%20--%20Public%20K%20and%20PIMI\PIMI%20Tables%20for%20meeting%20with%20Sanjeev\New%20tables\Table%201-Final%20July%2011%20AK.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pt5s\tre1\WEEKLY\Historical\as%20of%2003.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E:\Documents%20and%20Settings\fnyankiye\Local%20Settings\Temporary%20Internet%20Files\OLK49\wrs62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ata3\users3\DATA\EP\4-Social%20Protection\Board%20Paper%20fiscal%20policy%20and%20equity\Output%20for%20paper\Ryan\ASPIRE%20WB%20Global%20Social%20Protection%20Database.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www-intranet.imf.org/Data/IDN/REAL/Archive/!work/July00/D4/Pacific%20Islands/Vtfis.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ata1\fad\DATA\YMN\Current\YMN_FI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1\fad\DATA\AI\VSingh\Handy%20datasets%20and%20templates\Commodity%20Prices\Brent%20and%20WTI%20spot.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DATA/FP/Fiscal%20Monitor/2021-10-October%20Monitor/Chapter%202/Figures/Figure%202.10.%20%20Revenue%20projection%20errors%20and%20tax%20administration%20strength.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gure1.1_GH1%20(Format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chives\Article%20IV%202004\StaffReport\DZm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U:\DMC\NGA\STA-ins\NGCP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DATA/FP/Fiscal%20Monitor/2022-04-April%20Monitor/Chapter%201/Figures&amp;Tables/Charts%20for%20the%202nd%20submission%20to%20departments/Figure%201.14.%20Fiscal%20Performance%20during%20Energy%20and%20Food%20Price%20Booms,%201991-2018.xlsx?C28BE658" TargetMode="External"/><Relationship Id="rId1" Type="http://schemas.openxmlformats.org/officeDocument/2006/relationships/externalLinkPath" Target="file:///\\C28BE658\Figure%201.14.%20Fiscal%20Performance%20during%20Energy%20and%20Food%20Price%20Booms,%201991-201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5.%20Changes%20in%20Household%20Income,%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3\users3\Bloomberg%20CDS\Update%20Figures\PEN%20DRIVE_Figure%202-Panel%20Real%20Nominal%20%20CDS%20Purchases01131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obasdevant\AppData\Local\Microsoft\Windows\Temporary%20Internet%20Files\Content.Outlook\NGUBOVZ7\ESTFis%20(2)markutim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Yemon.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Data\Regional\Regional%20Outlook\RO_Spring_2006\Investment\CKramer\Growth%20Volatilit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IND\WEO\Archive\Previous_Submissions\WEO_SUB_2004_12_16_Flas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4\users10\abt06\0630\STATISTIK_Service_von_0631_SAVE\Aktuelle%20Daten%20der%20RV\200512\AktuelleDaten_2005_19_12_20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2\apd\DATA\Bloom\Korea\Corp_Bond_Yield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ountry name lookup"/>
      <sheetName val="Scmony"/>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diture by Functions of Go"/>
      <sheetName val="expenditure tb"/>
      <sheetName val="educ score"/>
      <sheetName val="educ score tb"/>
      <sheetName val="ginis "/>
      <sheetName val="gini tb"/>
      <sheetName val="exp and gini"/>
      <sheetName val="expenditure and gini"/>
      <sheetName val="Sheet4"/>
      <sheetName val="Educ score and Expenditure"/>
      <sheetName val="Sheet3"/>
      <sheetName val="Sheet2"/>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diture by Functions of Go"/>
      <sheetName val="expenditure tb"/>
      <sheetName val="educ score"/>
      <sheetName val="educ score tb"/>
      <sheetName val="ginis "/>
      <sheetName val="gini tb"/>
      <sheetName val="exp and gini"/>
      <sheetName val="expenditure and gini"/>
      <sheetName val="Sheet4"/>
      <sheetName val="Educ score and Expenditure"/>
      <sheetName val="Sheet3"/>
      <sheetName val="Sheet2"/>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NPV Reduction"/>
      <sheetName val="MSRV"/>
      <sheetName val="Orgao"/>
      <sheetName val="Provincial"/>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sheetData sheetId="3"/>
      <sheetData sheetId="4" refreshError="1"/>
      <sheetData sheetId="5"/>
      <sheetData sheetId="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incl tax"/>
      <sheetName val="transparent layer"/>
      <sheetName val="Codes"/>
      <sheetName val="Gini form FADEP Tool"/>
      <sheetName val="Selection from EAT"/>
      <sheetName val="EAT extract"/>
      <sheetName val="cofog2"/>
      <sheetName val="tax progressvity"/>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incl tax"/>
      <sheetName val="transparent layer"/>
      <sheetName val="Codes"/>
      <sheetName val="Gini form FADEP Tool"/>
      <sheetName val="Selection from EAT"/>
      <sheetName val="EAT extract"/>
      <sheetName val="cofog2"/>
      <sheetName val="tax progressvit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iscal"/>
      <sheetName val="Data Real"/>
      <sheetName val="Chart1"/>
      <sheetName val="Chart2"/>
      <sheetName val="T-Selected FI"/>
      <sheetName val="Chart3"/>
      <sheetName val="Chart31"/>
    </sheetNames>
    <sheetDataSet>
      <sheetData sheetId="0"/>
      <sheetData sheetId="1"/>
      <sheetData sheetId="2" refreshError="1"/>
      <sheetData sheetId="3" refreshError="1"/>
      <sheetData sheetId="4"/>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xxweolinksxx"/>
      <sheetName val="DA"/>
      <sheetName val="Micro"/>
      <sheetName val="Q1"/>
      <sheetName val="Q2"/>
      <sheetName val="Q3"/>
      <sheetName val="Q4"/>
      <sheetName val="Q5"/>
      <sheetName val="Q6"/>
      <sheetName val="Q7"/>
      <sheetName val="QQ"/>
      <sheetName val="QC"/>
      <sheetName val="Data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_turisticas"/>
      <sheetName val="#REF"/>
    </sheet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sheetData sheetId="1"/>
      <sheetData sheetId="2"/>
      <sheetData sheetId="3"/>
      <sheetData sheetId="4"/>
      <sheetData sheetId="5"/>
      <sheetData sheetId="6"/>
      <sheetData sheetId="7"/>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sheetName val="Figure 2"/>
      <sheetName val="Figure 3"/>
      <sheetName val="Table"/>
      <sheetName val="welfare"/>
      <sheetName val="pension"/>
      <sheetName val="potential welfare"/>
      <sheetName val="prim welfare"/>
      <sheetName val="prim social"/>
      <sheetName val="prim pension"/>
      <sheetName val="social"/>
      <sheetName val="pension vs welfare"/>
      <sheetName val="45 degree"/>
      <sheetName val="disag_OECD"/>
      <sheetName val="list"/>
      <sheetName val="raw"/>
      <sheetName val="mea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sheetData sheetId="3"/>
      <sheetData sheetId="4"/>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HACI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PL"/>
      <sheetName val="BAI 2"/>
    </sheetNames>
    <sheetDataSet>
      <sheetData sheetId="0"/>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sheetData sheetId="4"/>
      <sheetData sheetId="5" refreshError="1"/>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WDQP"/>
      <sheetName val="QC"/>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75"/>
      <sheetName val="Incidence Price Changes 50"/>
      <sheetName val="Incidence Price Changes 25 CT"/>
      <sheetName val="AppendixTab_1"/>
      <sheetName val="AppendixTab_2"/>
      <sheetName val="AppendixTab_3"/>
      <sheetName val="AppendixTab_4"/>
      <sheetName val="AppendixTab_5"/>
      <sheetName val="Fig1_new"/>
      <sheetName val="Fig2_new"/>
      <sheetName val="Fig2b"/>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refreshError="1"/>
      <sheetData sheetId="69"/>
      <sheetData sheetId="70" refreshError="1"/>
      <sheetData sheetId="71"/>
      <sheetData sheetId="72" refreshError="1"/>
      <sheetData sheetId="73"/>
      <sheetData sheetId="74" refreshError="1"/>
      <sheetData sheetId="75"/>
      <sheetData sheetId="76" refreshError="1"/>
      <sheetData sheetId="77"/>
      <sheetData sheetId="78" refreshError="1"/>
      <sheetData sheetId="79"/>
      <sheetData sheetId="80"/>
      <sheetData sheetId="81"/>
      <sheetData sheetId="82"/>
      <sheetData sheetId="83"/>
      <sheetData sheetId="84"/>
      <sheetData sheetId="85"/>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sheetName val="tostata"/>
      <sheetName val="Aspire WB Global Social Protect"/>
      <sheetName val="WEO GDP PPP"/>
      <sheetName val="Benefits"/>
      <sheetName val="Benefits Charts"/>
      <sheetName val="Expenditures"/>
      <sheetName val="Expenditures Charts"/>
      <sheetName val="Spending Impact on Gini"/>
      <sheetName val="Unweighted Averages"/>
      <sheetName val="Bottom 40 Benefits"/>
      <sheetName val="Bottom 40 Benefits Charts"/>
      <sheetName val="Sheet2"/>
      <sheetName val="Soc Spending"/>
      <sheetName val="Country List WDI"/>
      <sheetName val="WEO Regions Modified"/>
      <sheetName val="Regional Spending"/>
      <sheetName val="Regional Benefit Incidence"/>
      <sheetName val="1st 20% Coverage"/>
      <sheetName val="2nd 20% Coverage"/>
      <sheetName val="Bottom 40% Coverage"/>
      <sheetName val="Generosity Bottom 20%"/>
      <sheetName val="Generosity 2nd 20%"/>
      <sheetName val="Bottom 40% Generos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sheetData sheetId="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sheetData sheetId="3" refreshError="1"/>
      <sheetData sheetId="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sheetData sheetId="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Stfrprtables"/>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sheetData sheetId="2"/>
      <sheetData sheetId="3"/>
      <sheetData sheetId="4"/>
      <sheetData sheetId="5"/>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1"/>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sys"/>
      <sheetName val="In-sys hot"/>
      <sheetName val="Check"/>
      <sheetName val="Out-sys CNEP"/>
      <sheetName val="Interest rates"/>
      <sheetName val="Data authorities, monthly"/>
      <sheetName val="Data"/>
      <sheetName val="MS fre"/>
      <sheetName val="MS for"/>
      <sheetName val="Monthly M.S. and Cbk B.sheet"/>
      <sheetName val="Sheet1"/>
      <sheetName val="Table 4"/>
      <sheetName val="Tables 4a, 4b"/>
      <sheetName val="det for"/>
      <sheetName val="Sum"/>
      <sheetName val="Budfin"/>
      <sheetName val="S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data"/>
      <sheetName val="WEO Flash(old)"/>
      <sheetName val="Imp"/>
      <sheetName val="DSA output"/>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m"/>
      <sheetName val="Sheet1"/>
      <sheetName val="WEO"/>
      <sheetName val="Haver_IFS"/>
      <sheetName val="to_stata"/>
      <sheetName val="Sumary_stats"/>
      <sheetName val="oil"/>
      <sheetName val="food"/>
      <sheetName val="energy"/>
      <sheetName val="data for charts"/>
      <sheetName val="data for charts (2)"/>
      <sheetName val="data for charts_primary"/>
      <sheetName val="data for charts_median_imp"/>
      <sheetName val="bal"/>
      <sheetName val="primary_bal"/>
      <sheetName val="data for charts_median_imp_engy"/>
      <sheetName val="bal_energy"/>
      <sheetName val="bal_energy difference"/>
      <sheetName val="bal_energy difference (2)"/>
      <sheetName val="bal_energy difference_food"/>
      <sheetName val="data"/>
      <sheetName val="Figure"/>
      <sheetName val="Figure_no title and note"/>
      <sheetName val="Sheet2"/>
      <sheetName val="boom_dates"/>
      <sheetName val="ca_bal"/>
      <sheetName val="data for charts_median_imp_2000"/>
      <sheetName val="WEOSeries"/>
      <sheetName val="agri"/>
      <sheetName val="poilapsp"/>
      <sheetName val="base_metal"/>
      <sheetName val="commodity exporters"/>
      <sheetName val="ifscodes"/>
      <sheetName val="Data by 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Charts"/>
      <sheetName val="Charts_no country name"/>
      <sheetName val="Sheet2"/>
      <sheetName val="copy legend from here"/>
      <sheetName val="Chart1"/>
      <sheetName val="Contrib_US"/>
      <sheetName val="Contrib_UK"/>
      <sheetName val="Contrib_MEX"/>
      <sheetName val="Contrib_MEX (2)"/>
      <sheetName val="Contrib_MEX (3)"/>
      <sheetName val="PANEL"/>
      <sheetName val="Sheet3"/>
      <sheetName val="weekly"/>
      <sheetName val="2020Q4 (2)"/>
      <sheetName val="USA"/>
      <sheetName val="UK,DEU"/>
      <sheetName val="BRA,MEX,CHN"/>
      <sheetName val="EU-27"/>
      <sheetName val="Charts_old"/>
      <sheetName val="Charts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sheetData sheetId="39"/>
      <sheetData sheetId="40"/>
      <sheetData sheetId="41"/>
      <sheetData sheetId="4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sheetData sheetId="3"/>
      <sheetData sheetId="4"/>
      <sheetData sheetId="5"/>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Sheet2"/>
      <sheetName val="market income"/>
      <sheetName val="Chart4"/>
      <sheetName val="Chart1"/>
      <sheetName val="Contrib_US"/>
      <sheetName val="Contrib_DEU"/>
      <sheetName val="Contrib_UK"/>
      <sheetName val="Contrib_MEX"/>
      <sheetName val="Contrib_MEX (2)"/>
      <sheetName val="Contrib_MEX (3)"/>
      <sheetName val="PANEL"/>
      <sheetName val="PANEL (2)"/>
      <sheetName val="Sheet3"/>
      <sheetName val="weekly"/>
      <sheetName val="2020Q4 (2)"/>
      <sheetName val="UK,DEU"/>
      <sheetName val="Chart"/>
      <sheetName val="Data"/>
      <sheetName val="Canada"/>
      <sheetName val="contributions"/>
      <sheetName val="contributions_market income"/>
      <sheetName val="excess savings"/>
      <sheetName val="FRA,ESP,JPN"/>
      <sheetName val="Sheet4"/>
      <sheetName val="EU_savings"/>
      <sheetName val="saving rates"/>
      <sheetName val="Chart3"/>
      <sheetName val="savings rate_qaverage"/>
      <sheetName val="ifscode"/>
      <sheetName val="OECD_calc2020"/>
      <sheetName val="contributions_market income1"/>
      <sheetName val="OECD_2019"/>
      <sheetName val="AUS,NZL"/>
      <sheetName val="OECD.Stat2019"/>
      <sheetName val="OECD.Stat2020"/>
      <sheetName val="OECD.Stat2020_JPN"/>
      <sheetName val="JPN"/>
      <sheetName val="inflation_surprises"/>
      <sheetName val="NGDP_FY_USD"/>
      <sheetName val="Chart2"/>
      <sheetName val="Chart2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Chart2"/>
      <sheetName val="Chart3"/>
      <sheetName val="Chart4"/>
      <sheetName val="Fig1_PANEL NEW Figure G7"/>
      <sheetName val="PANEL with NEW FIGURE G7"/>
      <sheetName val=" REAL- INFLATION INDEX BOND"/>
      <sheetName val="PANEL FIG 2-3 (2)"/>
      <sheetName val="G7 data (2)"/>
      <sheetName val="val G7-GIPS"/>
      <sheetName val="FINAL PANEL FIG.4-5"/>
      <sheetName val="Debt"/>
      <sheetName val="ECB Bloomberg"/>
      <sheetName val="GDP"/>
      <sheetName val="Haver"/>
      <sheetName val="Chart_CBholding"/>
      <sheetName val="TableQ"/>
      <sheetName val="TableA"/>
      <sheetName val="Panel1"/>
      <sheetName val="Pane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 val="Debt"/>
      <sheetName val="Haver_In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sheetData sheetId="2"/>
      <sheetData sheetId="3" refreshError="1"/>
      <sheetData sheetId="4"/>
      <sheetData sheetId="5"/>
      <sheetData sheetId="6"/>
      <sheetData sheetId="7"/>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sheetData sheetId="1"/>
      <sheetData sheetId="2"/>
      <sheetData sheetId="3"/>
      <sheetData sheetId="4"/>
      <sheetData sheetId="5" refreshError="1"/>
      <sheetData sheetId="6" refreshError="1"/>
      <sheetData sheetId="7"/>
      <sheetData sheetId="8"/>
      <sheetData sheetId="9"/>
      <sheetData sheetId="1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Access Sum"/>
      <sheetName val="data"/>
      <sheetName val="Table 2b"/>
      <sheetName val="23-Table b"/>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95Q"/>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_T"/>
      <sheetName val="Titelblatt_mit_Logo"/>
      <sheetName val="Daten_für_das_Titelblatt"/>
      <sheetName val="Daten_Faltblatt"/>
      <sheetName val="02_Berwerte_ABL"/>
      <sheetName val="Rente_mit_40VJ_berechnen_ABL"/>
      <sheetName val="03A_Berwerte_NBL"/>
      <sheetName val="03B_Faustdaten_2005"/>
      <sheetName val="04_Reha_Vers_StNiv"/>
      <sheetName val="05_EA_und_Nachhalt_2004_2005"/>
      <sheetName val="06_Rente und Hinzuverdienst"/>
      <sheetName val="RTZALTE"/>
      <sheetName val="RTZNEUE"/>
      <sheetName val="RTBALTE"/>
      <sheetName val="RTBNEUE"/>
      <sheetName val="Hinweis Hinzuverdienst"/>
      <sheetName val="Einlageblatt_Kalender"/>
      <sheetName val="Übersicht_über_die_Namen  "/>
      <sheetName val="Rente_aus_Beitrag_berechnen"/>
      <sheetName val="StandardrnivAnmerkung"/>
      <sheetName val="Standardrente_berech_alteBL"/>
      <sheetName val="Standardrente_berech_neueBL"/>
      <sheetName val="Auswertung"/>
      <sheetName val="IHVERZEUGALLE"/>
      <sheetName val="Tabellenname_als_Text "/>
      <sheetName val="FKTZEIGEFORMEL"/>
      <sheetName val="Arbbldrucken"/>
      <sheetName val="Werte_Efg"/>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sheetData sheetId="55" refreshError="1"/>
      <sheetData sheetId="56" refreshError="1"/>
      <sheetData sheetId="57" refreshError="1"/>
      <sheetData sheetId="58"/>
      <sheetData sheetId="59" refreshError="1"/>
      <sheetData sheetId="60" refreshError="1"/>
      <sheetData sheetId="61" refreshError="1"/>
      <sheetData sheetId="62" refreshError="1"/>
      <sheetData sheetId="63"/>
      <sheetData sheetId="64"/>
      <sheetData sheetId="65" refreshError="1"/>
      <sheetData sheetId="66" refreshError="1"/>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 val="ou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loomberg"/>
      <sheetName val="Average yields"/>
      <sheetName val="ControlSheet"/>
      <sheetName val="Data to Aremos"/>
      <sheetName val="EDSS1"/>
      <sheetName val="7-day"/>
      <sheetName val="Raw_1"/>
    </sheetNames>
    <sheetDataSet>
      <sheetData sheetId="0"/>
      <sheetData sheetId="1"/>
      <sheetData sheetId="2"/>
      <sheetData sheetId="3"/>
      <sheetData sheetId="4"/>
      <sheetData sheetId="5"/>
      <sheetData sheetId="6"/>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iscalmonitor@imf.org?subject=Question%20on%20Fiscal%20Monito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mf.org/en/Publications/CR/Issues/2023/02/02/Peoples-Republic-of-China-2022-Article-IV-Consultation-Press-Release-Staff-Report-and-529067"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mf.org/en/Publications/CR/Issues/2023/02/02/Peoples-Republic-of-China-2022-Article-IV-Consultation-Press-Release-Staff-Report-and-529067"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imf.org/en/Publications/CR/Issues/2023/02/02/Peoples-Republic-of-China-2022-Article-IV-Consultation-Press-Release-Staff-Report-and-529067"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imf.org/en/Publications/CR/Issues/2023/02/02/Peoples-Republic-of-China-2022-Article-IV-Consultation-Press-Release-Staff-Report-and-529067"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imf.org/en/Publications/CR/Issues/2023/02/02/Peoples-Republic-of-China-2022-Article-IV-Consultation-Press-Release-Staff-Report-and-529067"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1.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93543-6578-4DF2-A796-0FA8B375385B}">
  <sheetPr>
    <tabColor theme="5" tint="0.39997558519241921"/>
  </sheetPr>
  <dimension ref="B4:L107"/>
  <sheetViews>
    <sheetView zoomScaleNormal="100" workbookViewId="0">
      <selection activeCell="I16" sqref="I16"/>
    </sheetView>
  </sheetViews>
  <sheetFormatPr defaultColWidth="9.140625" defaultRowHeight="15"/>
  <cols>
    <col min="1" max="1" width="9.140625" style="1"/>
    <col min="2" max="2" width="7" style="1" customWidth="1"/>
    <col min="3" max="9" width="11.7109375" style="1" customWidth="1"/>
    <col min="10" max="10" width="10.5703125" style="1" customWidth="1"/>
    <col min="11" max="11" width="19.7109375" style="1" customWidth="1"/>
    <col min="12" max="12" width="13" style="1" customWidth="1"/>
    <col min="13" max="16384" width="9.140625" style="1"/>
  </cols>
  <sheetData>
    <row r="4" spans="2:12" ht="15.75" thickBot="1"/>
    <row r="5" spans="2:12">
      <c r="B5" s="2"/>
      <c r="C5" s="3"/>
      <c r="D5" s="3"/>
      <c r="E5" s="3"/>
      <c r="F5" s="3"/>
      <c r="G5" s="3"/>
      <c r="H5" s="3"/>
      <c r="I5" s="3"/>
      <c r="J5" s="3"/>
      <c r="K5" s="3"/>
      <c r="L5" s="4"/>
    </row>
    <row r="6" spans="2:12">
      <c r="B6" s="5"/>
      <c r="C6" s="6"/>
      <c r="D6" s="6"/>
      <c r="E6" s="6"/>
      <c r="F6" s="6"/>
      <c r="G6" s="6"/>
      <c r="H6" s="6"/>
      <c r="I6" s="6"/>
      <c r="J6" s="6"/>
      <c r="K6" s="6"/>
      <c r="L6" s="7"/>
    </row>
    <row r="7" spans="2:12">
      <c r="B7" s="558" t="s">
        <v>0</v>
      </c>
      <c r="C7" s="559"/>
      <c r="D7" s="559"/>
      <c r="E7" s="559"/>
      <c r="F7" s="559"/>
      <c r="G7" s="559"/>
      <c r="H7" s="559"/>
      <c r="I7" s="559"/>
      <c r="J7" s="559"/>
      <c r="K7" s="559"/>
      <c r="L7" s="560"/>
    </row>
    <row r="8" spans="2:12">
      <c r="B8" s="558" t="s">
        <v>1</v>
      </c>
      <c r="C8" s="559"/>
      <c r="D8" s="559"/>
      <c r="E8" s="559"/>
      <c r="F8" s="559"/>
      <c r="G8" s="559"/>
      <c r="H8" s="559"/>
      <c r="I8" s="559"/>
      <c r="J8" s="559"/>
      <c r="K8" s="559"/>
      <c r="L8" s="560"/>
    </row>
    <row r="9" spans="2:12">
      <c r="B9" s="8"/>
      <c r="C9" s="9"/>
      <c r="D9" s="9"/>
      <c r="E9" s="9"/>
      <c r="F9" s="9"/>
      <c r="G9" s="9"/>
      <c r="H9" s="9"/>
      <c r="I9" s="9"/>
      <c r="J9" s="9"/>
      <c r="K9" s="9"/>
      <c r="L9" s="10"/>
    </row>
    <row r="10" spans="2:12">
      <c r="B10" s="8"/>
      <c r="C10" s="9"/>
      <c r="D10" s="9"/>
      <c r="E10" s="9"/>
      <c r="F10" s="9"/>
      <c r="G10" s="9"/>
      <c r="H10" s="9"/>
      <c r="I10" s="9"/>
      <c r="J10" s="9"/>
      <c r="K10" s="9"/>
      <c r="L10" s="10"/>
    </row>
    <row r="11" spans="2:12">
      <c r="B11" s="8"/>
      <c r="C11" s="9"/>
      <c r="D11" s="9"/>
      <c r="E11" s="9"/>
      <c r="F11" s="9"/>
      <c r="G11" s="9"/>
      <c r="H11" s="9"/>
      <c r="I11" s="9"/>
      <c r="J11" s="9"/>
      <c r="K11" s="9"/>
      <c r="L11" s="10"/>
    </row>
    <row r="12" spans="2:12">
      <c r="B12" s="8"/>
      <c r="C12" s="9"/>
      <c r="D12" s="9"/>
      <c r="E12" s="9"/>
      <c r="F12" s="9"/>
      <c r="G12" s="9"/>
      <c r="H12" s="9"/>
      <c r="I12" s="9"/>
      <c r="J12" s="9"/>
      <c r="K12" s="9"/>
      <c r="L12" s="10"/>
    </row>
    <row r="13" spans="2:12">
      <c r="B13" s="8"/>
      <c r="C13" s="9"/>
      <c r="D13" s="9"/>
      <c r="E13" s="9"/>
      <c r="F13" s="9"/>
      <c r="G13" s="9"/>
      <c r="H13" s="9"/>
      <c r="I13" s="9"/>
      <c r="J13" s="9"/>
      <c r="K13" s="9"/>
      <c r="L13" s="10"/>
    </row>
    <row r="14" spans="2:12">
      <c r="B14" s="8"/>
      <c r="C14" s="9"/>
      <c r="D14" s="9"/>
      <c r="E14" s="9"/>
      <c r="F14" s="9"/>
      <c r="G14" s="9"/>
      <c r="H14" s="9"/>
      <c r="I14" s="9"/>
      <c r="J14" s="9"/>
      <c r="K14" s="9"/>
      <c r="L14" s="10"/>
    </row>
    <row r="15" spans="2:12">
      <c r="B15" s="8"/>
      <c r="C15" s="9"/>
      <c r="D15" s="9"/>
      <c r="E15" s="9"/>
      <c r="F15" s="9"/>
      <c r="G15" s="9"/>
      <c r="H15" s="9"/>
      <c r="I15" s="9"/>
      <c r="J15" s="9"/>
      <c r="K15" s="9"/>
      <c r="L15" s="10"/>
    </row>
    <row r="16" spans="2:12">
      <c r="B16" s="8"/>
      <c r="C16" s="9"/>
      <c r="D16" s="9"/>
      <c r="E16" s="9"/>
      <c r="F16" s="9"/>
      <c r="G16" s="9"/>
      <c r="H16" s="9"/>
      <c r="I16" s="9"/>
      <c r="J16" s="9"/>
      <c r="K16" s="9"/>
      <c r="L16" s="10"/>
    </row>
    <row r="17" spans="2:12">
      <c r="B17" s="8"/>
      <c r="C17" s="9"/>
      <c r="D17" s="9"/>
      <c r="E17" s="9"/>
      <c r="F17" s="9"/>
      <c r="G17" s="9"/>
      <c r="H17" s="9"/>
      <c r="I17" s="9"/>
      <c r="J17" s="9"/>
      <c r="K17" s="9"/>
      <c r="L17" s="10"/>
    </row>
    <row r="18" spans="2:12">
      <c r="B18" s="11"/>
      <c r="C18" s="12"/>
      <c r="D18" s="12"/>
      <c r="E18" s="12"/>
      <c r="F18" s="12"/>
      <c r="G18" s="12"/>
      <c r="H18" s="12"/>
      <c r="I18" s="12"/>
      <c r="J18" s="12"/>
      <c r="K18" s="12"/>
      <c r="L18" s="13"/>
    </row>
    <row r="19" spans="2:12">
      <c r="B19" s="11"/>
      <c r="C19" s="12"/>
      <c r="D19" s="12"/>
      <c r="E19" s="12"/>
      <c r="F19" s="12"/>
      <c r="G19" s="12"/>
      <c r="H19" s="12"/>
      <c r="I19" s="12"/>
      <c r="J19" s="12"/>
      <c r="K19" s="12"/>
      <c r="L19" s="13"/>
    </row>
    <row r="20" spans="2:12">
      <c r="B20" s="11"/>
      <c r="C20" s="12"/>
      <c r="D20" s="12"/>
      <c r="E20" s="12"/>
      <c r="F20" s="12"/>
      <c r="G20" s="12"/>
      <c r="H20" s="12"/>
      <c r="I20" s="12"/>
      <c r="J20" s="12"/>
      <c r="K20" s="12"/>
      <c r="L20" s="13"/>
    </row>
    <row r="21" spans="2:12">
      <c r="B21" s="561" t="s">
        <v>2</v>
      </c>
      <c r="C21" s="562"/>
      <c r="D21" s="562"/>
      <c r="E21" s="562"/>
      <c r="F21" s="562"/>
      <c r="G21" s="562"/>
      <c r="H21" s="562"/>
      <c r="I21" s="562"/>
      <c r="J21" s="562"/>
      <c r="K21" s="562"/>
      <c r="L21" s="563"/>
    </row>
    <row r="22" spans="2:12">
      <c r="B22" s="14"/>
      <c r="C22" s="15"/>
      <c r="D22" s="15"/>
      <c r="E22" s="15"/>
      <c r="F22" s="15"/>
      <c r="G22" s="15"/>
      <c r="H22" s="15"/>
      <c r="I22" s="15"/>
      <c r="J22" s="15"/>
      <c r="K22" s="15"/>
      <c r="L22" s="16"/>
    </row>
    <row r="23" spans="2:12">
      <c r="B23" s="564" t="s">
        <v>3</v>
      </c>
      <c r="C23" s="565"/>
      <c r="D23" s="565"/>
      <c r="E23" s="565"/>
      <c r="F23" s="565"/>
      <c r="G23" s="565"/>
      <c r="H23" s="565"/>
      <c r="I23" s="565"/>
      <c r="J23" s="565"/>
      <c r="K23" s="565"/>
      <c r="L23" s="566"/>
    </row>
    <row r="24" spans="2:12">
      <c r="B24" s="17"/>
      <c r="C24" s="18"/>
      <c r="D24" s="18"/>
      <c r="E24" s="18"/>
      <c r="F24" s="18"/>
      <c r="G24" s="18"/>
      <c r="H24" s="18"/>
      <c r="I24" s="18"/>
      <c r="J24" s="18"/>
      <c r="K24" s="18"/>
      <c r="L24" s="19"/>
    </row>
    <row r="25" spans="2:12">
      <c r="B25" s="5"/>
      <c r="C25" s="6"/>
      <c r="D25" s="6"/>
      <c r="E25" s="6"/>
      <c r="F25" s="6"/>
      <c r="G25" s="6"/>
      <c r="H25" s="6"/>
      <c r="I25" s="6"/>
      <c r="J25" s="6"/>
      <c r="K25" s="6"/>
      <c r="L25" s="7"/>
    </row>
    <row r="26" spans="2:12">
      <c r="B26" s="20"/>
      <c r="C26" s="21"/>
      <c r="D26" s="21"/>
      <c r="E26" s="21"/>
      <c r="F26" s="21"/>
      <c r="G26" s="21"/>
      <c r="H26" s="21"/>
      <c r="I26" s="21"/>
      <c r="J26" s="21"/>
      <c r="K26" s="21"/>
      <c r="L26" s="22"/>
    </row>
    <row r="27" spans="2:12">
      <c r="B27" s="20"/>
      <c r="C27" s="21"/>
      <c r="D27" s="21"/>
      <c r="E27" s="21"/>
      <c r="F27" s="21"/>
      <c r="G27" s="21"/>
      <c r="H27" s="21"/>
      <c r="I27" s="21"/>
      <c r="J27" s="21"/>
      <c r="K27" s="21"/>
      <c r="L27" s="22"/>
    </row>
    <row r="28" spans="2:12">
      <c r="B28" s="20"/>
      <c r="C28" s="21"/>
      <c r="D28" s="21"/>
      <c r="E28" s="21"/>
      <c r="F28" s="21"/>
      <c r="G28" s="21"/>
      <c r="H28" s="21"/>
      <c r="I28" s="21"/>
      <c r="J28" s="21"/>
      <c r="K28" s="21"/>
      <c r="L28" s="22"/>
    </row>
    <row r="29" spans="2:12">
      <c r="B29" s="14" t="s">
        <v>4</v>
      </c>
      <c r="C29" s="15"/>
      <c r="D29" s="15"/>
      <c r="E29" s="15"/>
      <c r="F29" s="15"/>
      <c r="G29" s="15"/>
      <c r="H29" s="15"/>
      <c r="I29" s="15"/>
      <c r="J29" s="15"/>
      <c r="K29" s="15"/>
      <c r="L29" s="16"/>
    </row>
    <row r="30" spans="2:12" ht="15" customHeight="1">
      <c r="B30" s="549" t="s">
        <v>5</v>
      </c>
      <c r="C30" s="550"/>
      <c r="D30" s="550"/>
      <c r="E30" s="550"/>
      <c r="F30" s="550"/>
      <c r="G30" s="550"/>
      <c r="H30" s="550"/>
      <c r="I30" s="550"/>
      <c r="J30" s="550"/>
      <c r="K30" s="550"/>
      <c r="L30" s="557"/>
    </row>
    <row r="31" spans="2:12" ht="15" customHeight="1">
      <c r="B31" s="549" t="s">
        <v>6</v>
      </c>
      <c r="C31" s="550"/>
      <c r="D31" s="550"/>
      <c r="E31" s="550"/>
      <c r="F31" s="550"/>
      <c r="G31" s="550"/>
      <c r="H31" s="550"/>
      <c r="I31" s="550"/>
      <c r="J31" s="550"/>
      <c r="K31" s="550"/>
      <c r="L31" s="557"/>
    </row>
    <row r="32" spans="2:12" ht="15" customHeight="1">
      <c r="B32" s="23" t="s">
        <v>7</v>
      </c>
      <c r="C32" s="24"/>
      <c r="D32" s="24"/>
      <c r="E32" s="24"/>
      <c r="F32" s="24"/>
      <c r="G32" s="24"/>
      <c r="H32" s="24"/>
      <c r="I32" s="24"/>
      <c r="J32" s="24"/>
      <c r="K32" s="24"/>
      <c r="L32" s="25"/>
    </row>
    <row r="33" spans="2:12" ht="15" customHeight="1">
      <c r="B33" s="554"/>
      <c r="C33" s="555"/>
      <c r="D33" s="555"/>
      <c r="E33" s="555"/>
      <c r="F33" s="555"/>
      <c r="G33" s="555"/>
      <c r="H33" s="555"/>
      <c r="I33" s="555"/>
      <c r="J33" s="555"/>
      <c r="K33" s="555"/>
      <c r="L33" s="556"/>
    </row>
    <row r="34" spans="2:12" ht="15" customHeight="1">
      <c r="B34" s="14" t="s">
        <v>8</v>
      </c>
      <c r="C34" s="15"/>
      <c r="D34" s="15"/>
      <c r="E34" s="15"/>
      <c r="F34" s="15"/>
      <c r="G34" s="15"/>
      <c r="H34" s="15"/>
      <c r="I34" s="15"/>
      <c r="J34" s="15"/>
      <c r="K34" s="15"/>
      <c r="L34" s="16"/>
    </row>
    <row r="35" spans="2:12">
      <c r="B35" s="549" t="s">
        <v>9</v>
      </c>
      <c r="C35" s="550"/>
      <c r="D35" s="550"/>
      <c r="E35" s="550"/>
      <c r="F35" s="550"/>
      <c r="G35" s="550"/>
      <c r="H35" s="550"/>
      <c r="I35" s="550"/>
      <c r="J35" s="550"/>
      <c r="K35" s="550"/>
      <c r="L35" s="25"/>
    </row>
    <row r="36" spans="2:12" ht="15" customHeight="1">
      <c r="B36" s="549" t="s">
        <v>10</v>
      </c>
      <c r="C36" s="550"/>
      <c r="D36" s="550"/>
      <c r="E36" s="550"/>
      <c r="F36" s="550"/>
      <c r="G36" s="550"/>
      <c r="H36" s="550"/>
      <c r="I36" s="550"/>
      <c r="J36" s="550"/>
      <c r="K36" s="550"/>
      <c r="L36" s="25"/>
    </row>
    <row r="37" spans="2:12" ht="15" customHeight="1">
      <c r="B37" s="549" t="s">
        <v>11</v>
      </c>
      <c r="C37" s="550"/>
      <c r="D37" s="550"/>
      <c r="E37" s="550"/>
      <c r="F37" s="550"/>
      <c r="G37" s="550"/>
      <c r="H37" s="550"/>
      <c r="I37" s="550"/>
      <c r="J37" s="550"/>
      <c r="K37" s="550"/>
      <c r="L37" s="25"/>
    </row>
    <row r="38" spans="2:12" ht="15" customHeight="1">
      <c r="B38" s="549" t="s">
        <v>12</v>
      </c>
      <c r="C38" s="550"/>
      <c r="D38" s="550"/>
      <c r="E38" s="550"/>
      <c r="F38" s="550"/>
      <c r="G38" s="550"/>
      <c r="H38" s="550"/>
      <c r="I38" s="550"/>
      <c r="J38" s="550"/>
      <c r="K38" s="550"/>
      <c r="L38" s="25"/>
    </row>
    <row r="39" spans="2:12" ht="15" customHeight="1">
      <c r="B39" s="549" t="s">
        <v>13</v>
      </c>
      <c r="C39" s="550"/>
      <c r="D39" s="550"/>
      <c r="E39" s="550"/>
      <c r="F39" s="550"/>
      <c r="G39" s="550"/>
      <c r="H39" s="550"/>
      <c r="I39" s="550"/>
      <c r="J39" s="550"/>
      <c r="K39" s="550"/>
      <c r="L39" s="25"/>
    </row>
    <row r="40" spans="2:12" ht="15" customHeight="1">
      <c r="B40" s="549" t="s">
        <v>14</v>
      </c>
      <c r="C40" s="550"/>
      <c r="D40" s="550"/>
      <c r="E40" s="550"/>
      <c r="F40" s="550"/>
      <c r="G40" s="550"/>
      <c r="H40" s="550"/>
      <c r="I40" s="550"/>
      <c r="J40" s="550"/>
      <c r="K40" s="550"/>
      <c r="L40" s="25"/>
    </row>
    <row r="41" spans="2:12" ht="15" customHeight="1">
      <c r="B41" s="549" t="s">
        <v>15</v>
      </c>
      <c r="C41" s="550"/>
      <c r="D41" s="550"/>
      <c r="E41" s="550"/>
      <c r="F41" s="550"/>
      <c r="G41" s="550"/>
      <c r="H41" s="550"/>
      <c r="I41" s="550"/>
      <c r="J41" s="550"/>
      <c r="K41" s="550"/>
      <c r="L41" s="25"/>
    </row>
    <row r="42" spans="2:12" ht="15" customHeight="1">
      <c r="B42" s="549" t="s">
        <v>16</v>
      </c>
      <c r="C42" s="550"/>
      <c r="D42" s="550"/>
      <c r="E42" s="550"/>
      <c r="F42" s="550"/>
      <c r="G42" s="550"/>
      <c r="H42" s="550"/>
      <c r="I42" s="550"/>
      <c r="J42" s="550"/>
      <c r="K42" s="550"/>
      <c r="L42" s="25"/>
    </row>
    <row r="43" spans="2:12" ht="15" customHeight="1">
      <c r="B43" s="549" t="s">
        <v>17</v>
      </c>
      <c r="C43" s="550"/>
      <c r="D43" s="550"/>
      <c r="E43" s="550"/>
      <c r="F43" s="550"/>
      <c r="G43" s="550"/>
      <c r="H43" s="550"/>
      <c r="I43" s="550"/>
      <c r="J43" s="550"/>
      <c r="K43" s="550"/>
      <c r="L43" s="25"/>
    </row>
    <row r="44" spans="2:12" ht="15" customHeight="1">
      <c r="B44" s="549" t="s">
        <v>18</v>
      </c>
      <c r="C44" s="550"/>
      <c r="D44" s="550"/>
      <c r="E44" s="550"/>
      <c r="F44" s="550"/>
      <c r="G44" s="550"/>
      <c r="H44" s="550"/>
      <c r="I44" s="550"/>
      <c r="J44" s="550"/>
      <c r="K44" s="550"/>
      <c r="L44" s="25"/>
    </row>
    <row r="45" spans="2:12" ht="15" customHeight="1">
      <c r="B45" s="549" t="s">
        <v>19</v>
      </c>
      <c r="C45" s="550"/>
      <c r="D45" s="550"/>
      <c r="E45" s="550"/>
      <c r="F45" s="550"/>
      <c r="G45" s="550"/>
      <c r="H45" s="550"/>
      <c r="I45" s="550"/>
      <c r="J45" s="550"/>
      <c r="K45" s="550"/>
      <c r="L45" s="25"/>
    </row>
    <row r="46" spans="2:12" ht="15" customHeight="1">
      <c r="B46" s="549" t="s">
        <v>20</v>
      </c>
      <c r="C46" s="550"/>
      <c r="D46" s="550"/>
      <c r="E46" s="550"/>
      <c r="F46" s="550"/>
      <c r="G46" s="550"/>
      <c r="H46" s="550"/>
      <c r="I46" s="550"/>
      <c r="J46" s="550"/>
      <c r="K46" s="550"/>
      <c r="L46" s="25"/>
    </row>
    <row r="47" spans="2:12" ht="15" customHeight="1">
      <c r="B47" s="549" t="s">
        <v>21</v>
      </c>
      <c r="C47" s="550"/>
      <c r="D47" s="550"/>
      <c r="E47" s="550"/>
      <c r="F47" s="550"/>
      <c r="G47" s="550"/>
      <c r="H47" s="550"/>
      <c r="I47" s="550"/>
      <c r="J47" s="550"/>
      <c r="K47" s="550"/>
      <c r="L47" s="25"/>
    </row>
    <row r="48" spans="2:12" ht="15" customHeight="1">
      <c r="B48" s="549" t="s">
        <v>22</v>
      </c>
      <c r="C48" s="550"/>
      <c r="D48" s="550"/>
      <c r="E48" s="550"/>
      <c r="F48" s="550"/>
      <c r="G48" s="550"/>
      <c r="H48" s="550"/>
      <c r="I48" s="550"/>
      <c r="J48" s="550"/>
      <c r="K48" s="550"/>
      <c r="L48" s="25"/>
    </row>
    <row r="49" spans="2:12" ht="15" customHeight="1">
      <c r="B49" s="549" t="s">
        <v>23</v>
      </c>
      <c r="C49" s="550"/>
      <c r="D49" s="550"/>
      <c r="E49" s="550"/>
      <c r="F49" s="550"/>
      <c r="G49" s="550"/>
      <c r="H49" s="550"/>
      <c r="I49" s="550"/>
      <c r="J49" s="550"/>
      <c r="K49" s="550"/>
      <c r="L49" s="25"/>
    </row>
    <row r="50" spans="2:12" ht="15" customHeight="1">
      <c r="B50" s="549" t="s">
        <v>24</v>
      </c>
      <c r="C50" s="550"/>
      <c r="D50" s="550"/>
      <c r="E50" s="550"/>
      <c r="F50" s="550"/>
      <c r="G50" s="550"/>
      <c r="H50" s="550"/>
      <c r="I50" s="550"/>
      <c r="J50" s="550"/>
      <c r="K50" s="550"/>
      <c r="L50" s="25"/>
    </row>
    <row r="51" spans="2:12" ht="15" customHeight="1">
      <c r="B51" s="549" t="s">
        <v>25</v>
      </c>
      <c r="C51" s="550"/>
      <c r="D51" s="550"/>
      <c r="E51" s="550"/>
      <c r="F51" s="550"/>
      <c r="G51" s="550"/>
      <c r="H51" s="550"/>
      <c r="I51" s="550"/>
      <c r="J51" s="550"/>
      <c r="K51" s="550"/>
      <c r="L51" s="25"/>
    </row>
    <row r="52" spans="2:12" ht="15" customHeight="1">
      <c r="B52" s="549" t="s">
        <v>26</v>
      </c>
      <c r="C52" s="550"/>
      <c r="D52" s="550"/>
      <c r="E52" s="550"/>
      <c r="F52" s="550"/>
      <c r="G52" s="550"/>
      <c r="H52" s="550"/>
      <c r="I52" s="550"/>
      <c r="J52" s="550"/>
      <c r="K52" s="550"/>
      <c r="L52" s="25"/>
    </row>
    <row r="53" spans="2:12" ht="15" customHeight="1">
      <c r="B53" s="549" t="s">
        <v>27</v>
      </c>
      <c r="C53" s="550"/>
      <c r="D53" s="550"/>
      <c r="E53" s="550"/>
      <c r="F53" s="550"/>
      <c r="G53" s="550"/>
      <c r="H53" s="550"/>
      <c r="I53" s="550"/>
      <c r="J53" s="550"/>
      <c r="K53" s="550"/>
      <c r="L53" s="25"/>
    </row>
    <row r="54" spans="2:12" ht="15" customHeight="1">
      <c r="B54" s="549" t="s">
        <v>28</v>
      </c>
      <c r="C54" s="550"/>
      <c r="D54" s="550"/>
      <c r="E54" s="550"/>
      <c r="F54" s="550"/>
      <c r="G54" s="550"/>
      <c r="H54" s="550"/>
      <c r="I54" s="550"/>
      <c r="J54" s="550"/>
      <c r="K54" s="550"/>
      <c r="L54" s="25"/>
    </row>
    <row r="55" spans="2:12" ht="15" customHeight="1">
      <c r="B55" s="549" t="s">
        <v>29</v>
      </c>
      <c r="C55" s="550"/>
      <c r="D55" s="550"/>
      <c r="E55" s="550"/>
      <c r="F55" s="550"/>
      <c r="G55" s="550"/>
      <c r="H55" s="550"/>
      <c r="I55" s="550"/>
      <c r="J55" s="550"/>
      <c r="K55" s="550"/>
      <c r="L55" s="26"/>
    </row>
    <row r="56" spans="2:12" ht="15" customHeight="1">
      <c r="B56" s="549" t="s">
        <v>30</v>
      </c>
      <c r="C56" s="550"/>
      <c r="D56" s="550"/>
      <c r="E56" s="550"/>
      <c r="F56" s="550"/>
      <c r="G56" s="550"/>
      <c r="H56" s="550"/>
      <c r="I56" s="550"/>
      <c r="J56" s="550"/>
      <c r="K56" s="550"/>
      <c r="L56" s="27"/>
    </row>
    <row r="57" spans="2:12" ht="15" customHeight="1">
      <c r="B57" s="549" t="s">
        <v>31</v>
      </c>
      <c r="C57" s="550"/>
      <c r="D57" s="550"/>
      <c r="E57" s="550"/>
      <c r="F57" s="550"/>
      <c r="G57" s="550"/>
      <c r="H57" s="550"/>
      <c r="I57" s="550"/>
      <c r="J57" s="550"/>
      <c r="K57" s="550"/>
      <c r="L57" s="27"/>
    </row>
    <row r="58" spans="2:12" ht="15" customHeight="1">
      <c r="B58" s="549" t="s">
        <v>32</v>
      </c>
      <c r="C58" s="550"/>
      <c r="D58" s="550"/>
      <c r="E58" s="550"/>
      <c r="F58" s="550"/>
      <c r="G58" s="550"/>
      <c r="H58" s="550"/>
      <c r="I58" s="550"/>
      <c r="J58" s="550"/>
      <c r="K58" s="550"/>
      <c r="L58" s="25"/>
    </row>
    <row r="59" spans="2:12" ht="15" customHeight="1">
      <c r="B59" s="549" t="s">
        <v>33</v>
      </c>
      <c r="C59" s="550"/>
      <c r="D59" s="550"/>
      <c r="E59" s="550"/>
      <c r="F59" s="550"/>
      <c r="G59" s="550"/>
      <c r="H59" s="550"/>
      <c r="I59" s="550"/>
      <c r="J59" s="550"/>
      <c r="K59" s="550"/>
      <c r="L59" s="25"/>
    </row>
    <row r="60" spans="2:12" ht="15" customHeight="1">
      <c r="B60" s="549" t="s">
        <v>34</v>
      </c>
      <c r="C60" s="550"/>
      <c r="D60" s="550"/>
      <c r="E60" s="550"/>
      <c r="F60" s="550"/>
      <c r="G60" s="550"/>
      <c r="H60" s="550"/>
      <c r="I60" s="550"/>
      <c r="J60" s="550"/>
      <c r="K60" s="550"/>
      <c r="L60" s="26"/>
    </row>
    <row r="61" spans="2:12" ht="15" customHeight="1">
      <c r="B61" s="549" t="s">
        <v>35</v>
      </c>
      <c r="C61" s="550"/>
      <c r="D61" s="550"/>
      <c r="E61" s="550"/>
      <c r="F61" s="550"/>
      <c r="G61" s="550"/>
      <c r="H61" s="550"/>
      <c r="I61" s="550"/>
      <c r="J61" s="550"/>
      <c r="K61" s="550"/>
      <c r="L61" s="26"/>
    </row>
    <row r="62" spans="2:12" ht="15" customHeight="1">
      <c r="B62" s="549" t="s">
        <v>36</v>
      </c>
      <c r="C62" s="550"/>
      <c r="D62" s="550"/>
      <c r="E62" s="550"/>
      <c r="F62" s="550"/>
      <c r="G62" s="550"/>
      <c r="H62" s="550"/>
      <c r="I62" s="550"/>
      <c r="J62" s="550"/>
      <c r="K62" s="550"/>
      <c r="L62" s="7"/>
    </row>
    <row r="63" spans="2:12" ht="15" customHeight="1">
      <c r="B63" s="549" t="s">
        <v>37</v>
      </c>
      <c r="C63" s="550"/>
      <c r="D63" s="553"/>
      <c r="E63" s="553"/>
      <c r="F63" s="553"/>
      <c r="G63" s="553"/>
      <c r="H63" s="553"/>
      <c r="I63" s="553"/>
      <c r="J63" s="553"/>
      <c r="K63" s="553"/>
      <c r="L63" s="25"/>
    </row>
    <row r="64" spans="2:12" ht="15" customHeight="1">
      <c r="B64" s="549" t="s">
        <v>38</v>
      </c>
      <c r="C64" s="550"/>
      <c r="D64" s="553"/>
      <c r="E64" s="553"/>
      <c r="F64" s="553"/>
      <c r="G64" s="553"/>
      <c r="H64" s="553"/>
      <c r="I64" s="553"/>
      <c r="J64" s="553"/>
      <c r="K64" s="553"/>
      <c r="L64" s="25"/>
    </row>
    <row r="65" spans="2:12" ht="15" customHeight="1">
      <c r="B65" s="549" t="s">
        <v>39</v>
      </c>
      <c r="C65" s="550"/>
      <c r="D65" s="553"/>
      <c r="E65" s="553"/>
      <c r="F65" s="553"/>
      <c r="G65" s="553"/>
      <c r="H65" s="553"/>
      <c r="I65" s="553"/>
      <c r="J65" s="553"/>
      <c r="K65" s="553"/>
      <c r="L65" s="25"/>
    </row>
    <row r="66" spans="2:12" ht="15" customHeight="1">
      <c r="B66" s="549" t="s">
        <v>40</v>
      </c>
      <c r="C66" s="550"/>
      <c r="D66" s="553"/>
      <c r="E66" s="553"/>
      <c r="F66" s="553"/>
      <c r="G66" s="553"/>
      <c r="H66" s="553"/>
      <c r="I66" s="553"/>
      <c r="J66" s="553"/>
      <c r="K66" s="553"/>
      <c r="L66" s="25"/>
    </row>
    <row r="67" spans="2:12" ht="15" customHeight="1">
      <c r="B67" s="549" t="s">
        <v>41</v>
      </c>
      <c r="C67" s="550"/>
      <c r="D67" s="553"/>
      <c r="E67" s="553"/>
      <c r="F67" s="553"/>
      <c r="G67" s="553"/>
      <c r="H67" s="553"/>
      <c r="I67" s="553"/>
      <c r="J67" s="553"/>
      <c r="K67" s="553"/>
      <c r="L67" s="25"/>
    </row>
    <row r="68" spans="2:12" ht="15" customHeight="1">
      <c r="B68" s="549" t="s">
        <v>42</v>
      </c>
      <c r="C68" s="550"/>
      <c r="D68" s="553"/>
      <c r="E68" s="553"/>
      <c r="F68" s="553"/>
      <c r="G68" s="553"/>
      <c r="H68" s="553"/>
      <c r="I68" s="553"/>
      <c r="J68" s="553"/>
      <c r="K68" s="553"/>
      <c r="L68" s="25"/>
    </row>
    <row r="69" spans="2:12" ht="15" customHeight="1">
      <c r="B69" s="549" t="s">
        <v>43</v>
      </c>
      <c r="C69" s="550"/>
      <c r="D69" s="553"/>
      <c r="E69" s="553"/>
      <c r="F69" s="553"/>
      <c r="G69" s="553"/>
      <c r="H69" s="553"/>
      <c r="I69" s="553"/>
      <c r="J69" s="553"/>
      <c r="K69" s="553"/>
      <c r="L69" s="25"/>
    </row>
    <row r="70" spans="2:12" ht="15" customHeight="1">
      <c r="B70" s="549" t="s">
        <v>44</v>
      </c>
      <c r="C70" s="550"/>
      <c r="D70" s="553"/>
      <c r="E70" s="553"/>
      <c r="F70" s="553"/>
      <c r="G70" s="553"/>
      <c r="H70" s="553"/>
      <c r="I70" s="553"/>
      <c r="J70" s="553"/>
      <c r="K70" s="553"/>
      <c r="L70" s="25"/>
    </row>
    <row r="71" spans="2:12" ht="15" customHeight="1">
      <c r="B71" s="549" t="s">
        <v>45</v>
      </c>
      <c r="C71" s="550"/>
      <c r="D71" s="553"/>
      <c r="E71" s="553"/>
      <c r="F71" s="553"/>
      <c r="G71" s="553"/>
      <c r="H71" s="553"/>
      <c r="I71" s="553"/>
      <c r="J71" s="553"/>
      <c r="K71" s="553"/>
      <c r="L71" s="25"/>
    </row>
    <row r="72" spans="2:12" ht="15" customHeight="1">
      <c r="B72" s="549"/>
      <c r="C72" s="550"/>
      <c r="D72" s="550"/>
      <c r="E72" s="550"/>
      <c r="F72" s="550"/>
      <c r="G72" s="550"/>
      <c r="H72" s="550"/>
      <c r="I72" s="550"/>
      <c r="J72" s="550"/>
      <c r="K72" s="550"/>
      <c r="L72" s="25"/>
    </row>
    <row r="73" spans="2:12" ht="15" customHeight="1">
      <c r="B73" s="549"/>
      <c r="C73" s="550"/>
      <c r="D73" s="550"/>
      <c r="E73" s="550"/>
      <c r="F73" s="550"/>
      <c r="G73" s="550"/>
      <c r="H73" s="550"/>
      <c r="I73" s="550"/>
      <c r="J73" s="550"/>
      <c r="K73" s="550"/>
      <c r="L73" s="25"/>
    </row>
    <row r="74" spans="2:12" ht="15" customHeight="1">
      <c r="B74" s="14" t="s">
        <v>46</v>
      </c>
      <c r="C74" s="6"/>
      <c r="D74" s="6"/>
      <c r="E74" s="6"/>
      <c r="F74" s="6"/>
      <c r="G74" s="6"/>
      <c r="H74" s="6"/>
      <c r="I74" s="6"/>
      <c r="J74" s="6"/>
      <c r="K74" s="6"/>
      <c r="L74" s="16"/>
    </row>
    <row r="75" spans="2:12" ht="15" customHeight="1">
      <c r="B75" s="549" t="s">
        <v>47</v>
      </c>
      <c r="C75" s="550"/>
      <c r="D75" s="550"/>
      <c r="E75" s="550"/>
      <c r="F75" s="550"/>
      <c r="G75" s="550"/>
      <c r="H75" s="550"/>
      <c r="I75" s="550"/>
      <c r="J75" s="550"/>
      <c r="K75" s="550"/>
      <c r="L75" s="25"/>
    </row>
    <row r="76" spans="2:12" ht="15" customHeight="1">
      <c r="B76" s="549" t="s">
        <v>48</v>
      </c>
      <c r="C76" s="550"/>
      <c r="D76" s="550"/>
      <c r="E76" s="550"/>
      <c r="F76" s="550"/>
      <c r="G76" s="550"/>
      <c r="H76" s="550"/>
      <c r="I76" s="550"/>
      <c r="J76" s="550"/>
      <c r="K76" s="550"/>
      <c r="L76" s="25"/>
    </row>
    <row r="77" spans="2:12" ht="14.1" customHeight="1">
      <c r="B77" s="549" t="s">
        <v>49</v>
      </c>
      <c r="C77" s="550"/>
      <c r="D77" s="550"/>
      <c r="E77" s="550"/>
      <c r="F77" s="550"/>
      <c r="G77" s="550"/>
      <c r="H77" s="550"/>
      <c r="I77" s="550"/>
      <c r="J77" s="550"/>
      <c r="K77" s="550"/>
      <c r="L77" s="25"/>
    </row>
    <row r="78" spans="2:12" ht="15" customHeight="1">
      <c r="B78" s="549" t="s">
        <v>50</v>
      </c>
      <c r="C78" s="550"/>
      <c r="D78" s="550"/>
      <c r="E78" s="550"/>
      <c r="F78" s="550"/>
      <c r="G78" s="550"/>
      <c r="H78" s="550"/>
      <c r="I78" s="550"/>
      <c r="J78" s="550"/>
      <c r="K78" s="550"/>
      <c r="L78" s="25"/>
    </row>
    <row r="79" spans="2:12" ht="15" customHeight="1">
      <c r="B79" s="549" t="s">
        <v>51</v>
      </c>
      <c r="C79" s="550"/>
      <c r="D79" s="550"/>
      <c r="E79" s="550"/>
      <c r="F79" s="550"/>
      <c r="G79" s="550"/>
      <c r="H79" s="550"/>
      <c r="I79" s="550"/>
      <c r="J79" s="550"/>
      <c r="K79" s="550"/>
      <c r="L79" s="25"/>
    </row>
    <row r="80" spans="2:12" ht="15" customHeight="1">
      <c r="B80" s="549" t="s">
        <v>52</v>
      </c>
      <c r="C80" s="550"/>
      <c r="D80" s="550"/>
      <c r="E80" s="550"/>
      <c r="F80" s="550"/>
      <c r="G80" s="550"/>
      <c r="H80" s="550"/>
      <c r="I80" s="550"/>
      <c r="J80" s="550"/>
      <c r="K80" s="550"/>
      <c r="L80" s="25"/>
    </row>
    <row r="81" spans="2:12" ht="15" customHeight="1">
      <c r="B81" s="549" t="s">
        <v>53</v>
      </c>
      <c r="C81" s="550"/>
      <c r="D81" s="550"/>
      <c r="E81" s="550"/>
      <c r="F81" s="550"/>
      <c r="G81" s="550"/>
      <c r="H81" s="550"/>
      <c r="I81" s="550"/>
      <c r="J81" s="550"/>
      <c r="K81" s="550"/>
      <c r="L81" s="25"/>
    </row>
    <row r="82" spans="2:12" ht="15" customHeight="1">
      <c r="B82" s="549" t="s">
        <v>54</v>
      </c>
      <c r="C82" s="550"/>
      <c r="D82" s="550"/>
      <c r="E82" s="550"/>
      <c r="F82" s="550"/>
      <c r="G82" s="550"/>
      <c r="H82" s="550"/>
      <c r="I82" s="550"/>
      <c r="J82" s="550"/>
      <c r="K82" s="550"/>
      <c r="L82" s="25"/>
    </row>
    <row r="83" spans="2:12" ht="15" customHeight="1">
      <c r="B83" s="549" t="s">
        <v>55</v>
      </c>
      <c r="C83" s="550"/>
      <c r="D83" s="550"/>
      <c r="E83" s="550"/>
      <c r="F83" s="550"/>
      <c r="G83" s="550"/>
      <c r="H83" s="550"/>
      <c r="I83" s="550"/>
      <c r="J83" s="550"/>
      <c r="K83" s="550"/>
      <c r="L83" s="25"/>
    </row>
    <row r="84" spans="2:12" ht="15" customHeight="1">
      <c r="B84" s="549" t="s">
        <v>56</v>
      </c>
      <c r="C84" s="550"/>
      <c r="D84" s="550"/>
      <c r="E84" s="550"/>
      <c r="F84" s="550"/>
      <c r="G84" s="550"/>
      <c r="H84" s="550"/>
      <c r="I84" s="550"/>
      <c r="J84" s="550"/>
      <c r="K84" s="550"/>
      <c r="L84" s="25"/>
    </row>
    <row r="85" spans="2:12" ht="15" customHeight="1">
      <c r="B85" s="549" t="s">
        <v>57</v>
      </c>
      <c r="C85" s="550"/>
      <c r="D85" s="550"/>
      <c r="E85" s="550"/>
      <c r="F85" s="550"/>
      <c r="G85" s="550"/>
      <c r="H85" s="550"/>
      <c r="I85" s="550"/>
      <c r="J85" s="550"/>
      <c r="K85" s="550"/>
      <c r="L85" s="25"/>
    </row>
    <row r="86" spans="2:12" ht="15" customHeight="1">
      <c r="B86" s="549" t="s">
        <v>58</v>
      </c>
      <c r="C86" s="550"/>
      <c r="D86" s="550"/>
      <c r="E86" s="550"/>
      <c r="F86" s="550"/>
      <c r="G86" s="550"/>
      <c r="H86" s="550"/>
      <c r="I86" s="550"/>
      <c r="J86" s="550"/>
      <c r="K86" s="550"/>
      <c r="L86" s="25"/>
    </row>
    <row r="87" spans="2:12" ht="15" customHeight="1">
      <c r="B87" s="549" t="s">
        <v>59</v>
      </c>
      <c r="C87" s="550"/>
      <c r="D87" s="550"/>
      <c r="E87" s="550"/>
      <c r="F87" s="550"/>
      <c r="G87" s="550"/>
      <c r="H87" s="550"/>
      <c r="I87" s="550"/>
      <c r="J87" s="550"/>
      <c r="K87" s="550"/>
      <c r="L87" s="25"/>
    </row>
    <row r="88" spans="2:12" ht="15" customHeight="1">
      <c r="B88" s="549" t="s">
        <v>60</v>
      </c>
      <c r="C88" s="550"/>
      <c r="D88" s="550"/>
      <c r="E88" s="550"/>
      <c r="F88" s="550"/>
      <c r="G88" s="550"/>
      <c r="H88" s="550"/>
      <c r="I88" s="550"/>
      <c r="J88" s="550"/>
      <c r="K88" s="550"/>
      <c r="L88" s="25"/>
    </row>
    <row r="89" spans="2:12" ht="15" customHeight="1">
      <c r="B89" s="549" t="s">
        <v>61</v>
      </c>
      <c r="C89" s="550"/>
      <c r="D89" s="550"/>
      <c r="E89" s="550"/>
      <c r="F89" s="550"/>
      <c r="G89" s="550"/>
      <c r="H89" s="550"/>
      <c r="I89" s="550"/>
      <c r="J89" s="550"/>
      <c r="K89" s="550"/>
      <c r="L89" s="25"/>
    </row>
    <row r="90" spans="2:12" ht="15" customHeight="1">
      <c r="B90" s="549" t="s">
        <v>62</v>
      </c>
      <c r="C90" s="550"/>
      <c r="D90" s="550"/>
      <c r="E90" s="550"/>
      <c r="F90" s="550"/>
      <c r="G90" s="550"/>
      <c r="H90" s="550"/>
      <c r="I90" s="550"/>
      <c r="J90" s="550"/>
      <c r="K90" s="550"/>
      <c r="L90" s="25"/>
    </row>
    <row r="91" spans="2:12" ht="15" customHeight="1">
      <c r="B91" s="549" t="s">
        <v>63</v>
      </c>
      <c r="C91" s="550"/>
      <c r="D91" s="550"/>
      <c r="E91" s="550"/>
      <c r="F91" s="550"/>
      <c r="G91" s="550"/>
      <c r="H91" s="550"/>
      <c r="I91" s="550"/>
      <c r="J91" s="550"/>
      <c r="K91" s="550"/>
      <c r="L91" s="25"/>
    </row>
    <row r="92" spans="2:12" ht="15" customHeight="1">
      <c r="B92" s="549" t="s">
        <v>64</v>
      </c>
      <c r="C92" s="550"/>
      <c r="D92" s="550"/>
      <c r="E92" s="550"/>
      <c r="F92" s="550"/>
      <c r="G92" s="550"/>
      <c r="H92" s="550"/>
      <c r="I92" s="550"/>
      <c r="J92" s="550"/>
      <c r="K92" s="550"/>
      <c r="L92" s="25"/>
    </row>
    <row r="93" spans="2:12" ht="15" customHeight="1">
      <c r="B93" s="549" t="s">
        <v>65</v>
      </c>
      <c r="C93" s="550"/>
      <c r="D93" s="550"/>
      <c r="E93" s="550"/>
      <c r="F93" s="550"/>
      <c r="G93" s="550"/>
      <c r="H93" s="550"/>
      <c r="I93" s="550"/>
      <c r="J93" s="550"/>
      <c r="K93" s="550"/>
      <c r="L93" s="25"/>
    </row>
    <row r="94" spans="2:12" ht="15" customHeight="1">
      <c r="B94" s="549" t="s">
        <v>66</v>
      </c>
      <c r="C94" s="550"/>
      <c r="D94" s="550"/>
      <c r="E94" s="550"/>
      <c r="F94" s="550"/>
      <c r="G94" s="550"/>
      <c r="H94" s="550"/>
      <c r="I94" s="550"/>
      <c r="J94" s="550"/>
      <c r="K94" s="550"/>
      <c r="L94" s="25"/>
    </row>
    <row r="95" spans="2:12" ht="15" customHeight="1">
      <c r="B95" s="549" t="s">
        <v>67</v>
      </c>
      <c r="C95" s="550"/>
      <c r="D95" s="550"/>
      <c r="E95" s="550"/>
      <c r="F95" s="550"/>
      <c r="G95" s="550"/>
      <c r="H95" s="550"/>
      <c r="I95" s="550"/>
      <c r="J95" s="550"/>
      <c r="K95" s="550"/>
      <c r="L95" s="25"/>
    </row>
    <row r="96" spans="2:12" ht="15" customHeight="1">
      <c r="B96" s="549" t="s">
        <v>68</v>
      </c>
      <c r="C96" s="550"/>
      <c r="D96" s="550"/>
      <c r="E96" s="550"/>
      <c r="F96" s="550"/>
      <c r="G96" s="550"/>
      <c r="H96" s="550"/>
      <c r="I96" s="550"/>
      <c r="J96" s="550"/>
      <c r="K96" s="550"/>
      <c r="L96" s="25"/>
    </row>
    <row r="97" spans="2:12" ht="15" customHeight="1">
      <c r="B97" s="549" t="s">
        <v>69</v>
      </c>
      <c r="C97" s="550"/>
      <c r="D97" s="550"/>
      <c r="E97" s="550"/>
      <c r="F97" s="550"/>
      <c r="G97" s="550"/>
      <c r="H97" s="550"/>
      <c r="I97" s="550"/>
      <c r="J97" s="550"/>
      <c r="K97" s="550"/>
      <c r="L97" s="25"/>
    </row>
    <row r="98" spans="2:12" ht="15" customHeight="1">
      <c r="B98" s="549" t="s">
        <v>70</v>
      </c>
      <c r="C98" s="550"/>
      <c r="D98" s="550"/>
      <c r="E98" s="550"/>
      <c r="F98" s="550"/>
      <c r="G98" s="550"/>
      <c r="H98" s="550"/>
      <c r="I98" s="550"/>
      <c r="J98" s="550"/>
      <c r="K98" s="550"/>
      <c r="L98" s="25"/>
    </row>
    <row r="99" spans="2:12" ht="15" customHeight="1">
      <c r="B99" s="549" t="s">
        <v>71</v>
      </c>
      <c r="C99" s="550"/>
      <c r="D99" s="550"/>
      <c r="E99" s="550"/>
      <c r="F99" s="550"/>
      <c r="G99" s="550"/>
      <c r="H99" s="550"/>
      <c r="I99" s="550"/>
      <c r="J99" s="550"/>
      <c r="K99" s="550"/>
      <c r="L99" s="25"/>
    </row>
    <row r="100" spans="2:12" ht="15" customHeight="1">
      <c r="B100" s="551" t="s">
        <v>72</v>
      </c>
      <c r="C100" s="552"/>
      <c r="D100" s="552"/>
      <c r="E100" s="552"/>
      <c r="F100" s="552"/>
      <c r="G100" s="552"/>
      <c r="H100" s="552"/>
      <c r="I100" s="552"/>
      <c r="J100" s="552"/>
      <c r="K100" s="552"/>
      <c r="L100" s="25"/>
    </row>
    <row r="101" spans="2:12" ht="15" customHeight="1">
      <c r="B101" s="549" t="s">
        <v>73</v>
      </c>
      <c r="C101" s="550"/>
      <c r="D101" s="550"/>
      <c r="E101" s="550"/>
      <c r="F101" s="550"/>
      <c r="G101" s="550"/>
      <c r="H101" s="550"/>
      <c r="I101" s="550"/>
      <c r="J101" s="550"/>
      <c r="K101" s="550"/>
      <c r="L101" s="25"/>
    </row>
    <row r="102" spans="2:12" ht="15" customHeight="1">
      <c r="B102" s="549" t="s">
        <v>74</v>
      </c>
      <c r="C102" s="550"/>
      <c r="D102" s="550"/>
      <c r="E102" s="550"/>
      <c r="F102" s="550"/>
      <c r="G102" s="550"/>
      <c r="H102" s="550"/>
      <c r="I102" s="550"/>
      <c r="J102" s="550"/>
      <c r="K102" s="550"/>
      <c r="L102" s="25"/>
    </row>
    <row r="103" spans="2:12" ht="15" customHeight="1">
      <c r="B103" s="549" t="s">
        <v>75</v>
      </c>
      <c r="C103" s="550"/>
      <c r="D103" s="550"/>
      <c r="E103" s="550"/>
      <c r="F103" s="550"/>
      <c r="G103" s="550"/>
      <c r="H103" s="550"/>
      <c r="I103" s="550"/>
      <c r="J103" s="550"/>
      <c r="K103" s="550"/>
      <c r="L103" s="25"/>
    </row>
    <row r="104" spans="2:12" ht="15" customHeight="1">
      <c r="B104" s="28"/>
      <c r="C104" s="29"/>
      <c r="D104" s="29"/>
      <c r="E104" s="29"/>
      <c r="F104" s="29"/>
      <c r="G104" s="29"/>
      <c r="H104" s="29"/>
      <c r="I104" s="29"/>
      <c r="J104" s="29"/>
      <c r="K104" s="29"/>
      <c r="L104" s="26"/>
    </row>
    <row r="105" spans="2:12" ht="15" customHeight="1" thickBot="1">
      <c r="B105" s="30"/>
      <c r="C105" s="31"/>
      <c r="D105" s="31"/>
      <c r="E105" s="31"/>
      <c r="F105" s="31"/>
      <c r="G105" s="31"/>
      <c r="H105" s="31"/>
      <c r="I105" s="31"/>
      <c r="J105" s="31"/>
      <c r="K105" s="31"/>
      <c r="L105" s="32"/>
    </row>
    <row r="106" spans="2:12" ht="15" customHeight="1"/>
    <row r="107" spans="2:12" ht="15" customHeight="1"/>
  </sheetData>
  <mergeCells count="75">
    <mergeCell ref="B31:L31"/>
    <mergeCell ref="B7:L7"/>
    <mergeCell ref="B8:L8"/>
    <mergeCell ref="B21:L21"/>
    <mergeCell ref="B23:L23"/>
    <mergeCell ref="B30:L30"/>
    <mergeCell ref="B45:K45"/>
    <mergeCell ref="B33:L33"/>
    <mergeCell ref="B35:K35"/>
    <mergeCell ref="B36:K36"/>
    <mergeCell ref="B37:K37"/>
    <mergeCell ref="B38:K38"/>
    <mergeCell ref="B39:K39"/>
    <mergeCell ref="B40:K40"/>
    <mergeCell ref="B41:K41"/>
    <mergeCell ref="B42:K42"/>
    <mergeCell ref="B43:K43"/>
    <mergeCell ref="B44:K44"/>
    <mergeCell ref="B57:K57"/>
    <mergeCell ref="B46:K46"/>
    <mergeCell ref="B47:K47"/>
    <mergeCell ref="B48:K48"/>
    <mergeCell ref="B49:K49"/>
    <mergeCell ref="B50:K50"/>
    <mergeCell ref="B51:K51"/>
    <mergeCell ref="B52:K52"/>
    <mergeCell ref="B53:K53"/>
    <mergeCell ref="B54:K54"/>
    <mergeCell ref="B55:K55"/>
    <mergeCell ref="B56:K56"/>
    <mergeCell ref="B69:K69"/>
    <mergeCell ref="B58:K58"/>
    <mergeCell ref="B59:K59"/>
    <mergeCell ref="B60:K60"/>
    <mergeCell ref="B61:K61"/>
    <mergeCell ref="B62:K62"/>
    <mergeCell ref="B63:K63"/>
    <mergeCell ref="B64:K64"/>
    <mergeCell ref="B65:K65"/>
    <mergeCell ref="B66:K66"/>
    <mergeCell ref="B67:K67"/>
    <mergeCell ref="B68:K68"/>
    <mergeCell ref="B82:K82"/>
    <mergeCell ref="B70:K70"/>
    <mergeCell ref="B71:K71"/>
    <mergeCell ref="B72:K72"/>
    <mergeCell ref="B73:K73"/>
    <mergeCell ref="B75:K75"/>
    <mergeCell ref="B76:K76"/>
    <mergeCell ref="B77:K77"/>
    <mergeCell ref="B78:K78"/>
    <mergeCell ref="B79:K79"/>
    <mergeCell ref="B80:K80"/>
    <mergeCell ref="B81:K81"/>
    <mergeCell ref="B94:K94"/>
    <mergeCell ref="B83:K83"/>
    <mergeCell ref="B84:K84"/>
    <mergeCell ref="B85:K85"/>
    <mergeCell ref="B86:K86"/>
    <mergeCell ref="B87:K87"/>
    <mergeCell ref="B88:K88"/>
    <mergeCell ref="B89:K89"/>
    <mergeCell ref="B90:K90"/>
    <mergeCell ref="B91:K91"/>
    <mergeCell ref="B92:K92"/>
    <mergeCell ref="B93:K93"/>
    <mergeCell ref="B102:K102"/>
    <mergeCell ref="B103:K103"/>
    <mergeCell ref="B100:K100"/>
    <mergeCell ref="B95:K95"/>
    <mergeCell ref="B96:K96"/>
    <mergeCell ref="B97:K97"/>
    <mergeCell ref="B98:K98"/>
    <mergeCell ref="B99:K99"/>
    <mergeCell ref="B101:K101"/>
  </mergeCells>
  <hyperlinks>
    <hyperlink ref="B75" location="'Table A1'!A1" display="Table A1" xr:uid="{26F9C101-0EED-43F9-A12D-EB440174C47C}"/>
    <hyperlink ref="B76" location="'Table A2'!A1" display="Table A2" xr:uid="{DB5CA40F-FDAC-48BA-8EE7-6F70D42F3E03}"/>
    <hyperlink ref="B77" location="'Table A3'!A1" display="Table A3" xr:uid="{36D90060-91B2-452D-A68F-B318CDB02C6B}"/>
    <hyperlink ref="B78" location="'Table A4'!A1" display="Table A4" xr:uid="{108A4B7D-A04E-43AD-B3CD-C859E9C451DC}"/>
    <hyperlink ref="B79" location="'Table A5'!A1" display="Table A5" xr:uid="{A563697F-1065-4BCC-AFE8-688C1C87E00B}"/>
    <hyperlink ref="B80" location="'Table A6'!A1" display="Table A6" xr:uid="{8ADB3C34-BC99-44CE-B6C3-E3389F8F2D39}"/>
    <hyperlink ref="B81" location="'Table A7'!A1" display="Table A7" xr:uid="{7896833C-506D-4C98-8A85-22E66CECA008}"/>
    <hyperlink ref="B82" location="'Table A8'!A1" display="Table A8" xr:uid="{9D6E71DD-66A1-4E97-9EBD-95C410DA2A67}"/>
    <hyperlink ref="B83" location="'Table A9'!A1" display="Table A9" xr:uid="{F574F35C-817C-4A49-AB69-FC4680C9F479}"/>
    <hyperlink ref="B84" location="'Table A10'!A1" display="Table A10" xr:uid="{A79A6A9F-D4DD-4530-92AB-7D60C3631DE3}"/>
    <hyperlink ref="B85" location="'Table A11'!A1" display="Table A11" xr:uid="{E28B81F9-29FC-4F51-9A37-A1D2390DE599}"/>
    <hyperlink ref="B86" location="'Table A12'!A1" display="Table A12" xr:uid="{10618D2C-516B-4467-910E-2A666B02CA1B}"/>
    <hyperlink ref="B87" location="'Table A13'!A1" display="Table A13" xr:uid="{A82DE0FA-0178-45FD-8193-91B52D3D9FB0}"/>
    <hyperlink ref="B88" location="'Table A14'!A1" display="Table A14" xr:uid="{48384293-4666-4FAA-8285-2154937C0918}"/>
    <hyperlink ref="B89" location="'Table A15'!A1" display="Table A15" xr:uid="{E04A7F41-B291-405C-8B97-82AE0EB7D681}"/>
    <hyperlink ref="B90" location="'Table A16'!A1" display="Table A16" xr:uid="{E639D6D9-2D6A-418F-AD47-8DEAD4AA93AA}"/>
    <hyperlink ref="B91" location="'Table A17'!A1" display="Table A17" xr:uid="{C008CD24-CA38-4E15-A67F-74D111BC61C1}"/>
    <hyperlink ref="B93" location="'Table A19'!A1" display="Table A19" xr:uid="{7EF12B60-6B0A-4933-BAB3-04493A29E7CE}"/>
    <hyperlink ref="B94" location="'Table A20'!A1" display="Table A20" xr:uid="{EE12AB34-2745-4590-BD25-661024E8BDC2}"/>
    <hyperlink ref="B95" location="'Table A21'!A1" display="Table A21" xr:uid="{BAB233D2-BAAD-4881-A180-8C2DA6BFCDA8}"/>
    <hyperlink ref="B96" location="'Table A22'!A1" display="Table A22" xr:uid="{FB37EA84-CB7B-48DD-BA04-7358C5DE2F67}"/>
    <hyperlink ref="B101" location="'Table A'!A1" display="Table A" xr:uid="{30383456-D242-4095-8A47-D8CB9D342837}"/>
    <hyperlink ref="B102" location="'Table B'!A1" display="Table B" xr:uid="{2AB8D467-6E9A-4756-A79D-0A4CF3BD5BB1}"/>
    <hyperlink ref="B103" location="'Table C'!A1" display="Table C" xr:uid="{56F2B97D-057C-4B10-AE88-264E9409A277}"/>
    <hyperlink ref="B73:K73" location="'Table A11.'!A1" display="'Table A11.'!A1" xr:uid="{76070DAA-4294-4B71-817C-87A51B083685}"/>
    <hyperlink ref="B74:K74" location="'Table A12.'!A1" display="'Table A12.'!A1" xr:uid="{4C13CB5C-246A-4B43-80A3-2502C39C7C79}"/>
    <hyperlink ref="B75:K75" location="'Table A1.'!A1" display="'Table A1.'!A1" xr:uid="{97EA79A2-7793-447A-BB5D-F80916C8BE76}"/>
    <hyperlink ref="B76:K76" location="'Table A2.'!A1" display="'Table A2.'!A1" xr:uid="{79B2ADBF-A9F8-452D-BE98-7F189918C738}"/>
    <hyperlink ref="B77:K77" location="'Table A3.'!A1" display="'Table A3.'!A1" xr:uid="{62BEABBD-CD15-4FF8-8AB1-5DD61F4AB062}"/>
    <hyperlink ref="B78:K78" location="'Table A4.'!A1" display="'Table A4.'!A1" xr:uid="{2F18D2E0-C02B-4594-A17B-AC85DF1998C9}"/>
    <hyperlink ref="B79:K79" location="'Table A5.'!A1" display="'Table A5.'!A1" xr:uid="{AAE795D0-1F9B-4CA8-BD87-05F3F50DC1D4}"/>
    <hyperlink ref="B81:K81" location="'Table A7.'!A1" display="'Table A7.'!A1" xr:uid="{B4D4FDBE-B599-4F30-AB3A-738923E8FC2D}"/>
    <hyperlink ref="B82:K82" location="'Table A8.'!A1" display="'Table A8.'!A1" xr:uid="{286A2420-2420-4C7C-9C0E-9E411EB7C64E}"/>
    <hyperlink ref="B83:K83" location="'Table A9.'!A1" display="'Table A9.'!A1" xr:uid="{62D9289E-2199-46C0-85EC-C12D3E410F34}"/>
    <hyperlink ref="B84:K84" location="'Table A10.'!A1" display="'Table A10.'!A1" xr:uid="{9D1F354F-0D6B-43D6-960C-55764351EF2F}"/>
    <hyperlink ref="B80:K80" location="'Table A6.'!A1" display="'Table A6.'!A1" xr:uid="{1EDEC1D5-C63A-4852-974B-247770F2FA48}"/>
    <hyperlink ref="B97" location="'Table A22'!A1" display="Table A22" xr:uid="{E4F85F82-8BE6-4C58-990F-1FD0E1319477}"/>
    <hyperlink ref="B85:K85" location="'Table A11.'!A1" display="'Table A11.'!A1" xr:uid="{48397B03-9F78-40CB-BD8E-1482AA6F6187}"/>
    <hyperlink ref="B98" location="'Table A22'!A1" display="Table A22" xr:uid="{B28866D9-A902-4D44-B07A-CD9850762AE7}"/>
    <hyperlink ref="B86:K86" location="'Table A12.'!A1" display="'Table A12.'!A1" xr:uid="{4A3504EB-F997-488F-817D-6A8F762D471F}"/>
    <hyperlink ref="B99" location="'Table A22'!A1" display="Table A22" xr:uid="{E6A72573-7D29-4EF7-9EC8-301D755B77CE}"/>
    <hyperlink ref="B87:K87" location="'Table A13.'!A1" display="'Table A13.'!A1" xr:uid="{1B1BB49A-603E-478E-BA71-6769510C2C75}"/>
    <hyperlink ref="B88:K88" location="'Table A14.'!A1" display="'Table A14.'!A1" xr:uid="{1DC3AF83-5652-438A-9644-5AB62D1218B3}"/>
    <hyperlink ref="B89:K89" location="'Table A15.'!A1" display="'Table A15.'!A1" xr:uid="{B904773B-E4ED-4BBD-93B4-6EB75A47A231}"/>
    <hyperlink ref="B90:K90" location="'Table A16.'!A1" display="'Table A16.'!A1" xr:uid="{9747B552-86E8-4A68-A42D-CC5AC323503D}"/>
    <hyperlink ref="B60:K60" location="'Figure 2.5.'!A1" display="Figure 2.5. Household-Specific Levels of Inflation per Quintile, 2021−22" xr:uid="{7860F4C7-C84A-4A5B-BD94-B9CB0F3C1D73}"/>
    <hyperlink ref="B32" location="'Table 2.1.'!A1" display="Table 2.1. Total Effect of Inflation on Saving Capacity by Age-Income Groups" xr:uid="{33268000-57AA-4E9F-9119-98E78459D4F0}"/>
    <hyperlink ref="B59:K59" location="'Figure 2.4.'!A1" display="Figure 2.4. Estimated Initial Gains to Fiscal Balances from CPI Inflation Spikes" xr:uid="{53267112-2047-4588-A735-26E394B951D1}"/>
    <hyperlink ref="B58:K58" location="'Figure 2.3.'!A1" display="Figure 2.3. Debt Reaction to Surprise versus Expected Growth Spikes in the GDP Deflator" xr:uid="{64215862-C7E4-4C58-8CA7-133124300032}"/>
    <hyperlink ref="B57:K57" location="'Figure 2.2.'!A1" display="Figure 2.2. Reaction to a 1 Percentage Point Growth Spike in the GDP Deflator" xr:uid="{1ADF389B-842C-4972-8BEF-E34179DCBC5C}"/>
    <hyperlink ref="B56:K56" location="'Figure 2.1.'!A1" display="Figure 2.1. Indexation Policies Vary across the World and across Budget Items" xr:uid="{F9B15C01-EB23-4E31-A602-0B3F8FAA0890}"/>
    <hyperlink ref="B43:K43" location="'Figure 1.9'!A1" display="Figure 1.9. Total Tax Collection" xr:uid="{477C86B8-FDEE-4E14-9014-001DE7A13F7C}"/>
    <hyperlink ref="B42:K42" location="'Figure 1.8'!A1" display="Figure 1.8. Impact of Exchange Rate Depreciation on Debt Change, and Potential Debt Service Suspension Initiative Savings, 2021–22" xr:uid="{B3C8D525-FFE2-4EB9-9247-6FFF2C425E79}"/>
    <hyperlink ref="B55:K55" location="'Figure 1.1.2'!A1" display="Figure 1.1.2. Tax Reform Waves in Emerging Market and Developing Economies" xr:uid="{391CD5DD-22C3-4D79-B62B-9C4F52E74552}"/>
    <hyperlink ref="B54:K54" location="'Figure 1.1.1'!A1" display="Figure 1.1.1. Low Growth in Tax Revenues and Its Drivers" xr:uid="{64871673-89F1-4200-B899-BBB6D80DEFF0}"/>
    <hyperlink ref="B53:K53" location="'Figure 1.19'!A1" display="Figure 1.19. Impact of Energy Cost Increases for Firms and Fiscal Costs" xr:uid="{C56A0B43-1F7C-4D2A-BE7C-7CD9E2FFDBA0}"/>
    <hyperlink ref="B52:K52" location="'Figure 1.18'!A1" display="Figure 1.18. Fiscal Costs of Energy Price Increases" xr:uid="{055495ED-CF7F-4061-9D96-96FF3E8F8B1E}"/>
    <hyperlink ref="B51:K51" location="'Figure 1.17'!A1" display="Figure 1.17. Food Prices and Food Insecurity" xr:uid="{EE0E8EB7-4413-4D79-9DBC-F0908D6900EB}"/>
    <hyperlink ref="B50:K50" location="'Figure 1.16'!A1" display="Figure 1.16. Number of Countries with Expenditure Rules as of 2022" xr:uid="{70E306FD-3FE0-48F6-9D80-050471F0E194}"/>
    <hyperlink ref="B49:K49" location="'Figure 1.15'!A1" display="Figure 1.15. Effects of Fiscal Consolidation: High Inflation versus Low Inflation" xr:uid="{471FEE4C-4817-4E8C-8BCB-47EC4FF08ECB}"/>
    <hyperlink ref="B48:K48" location="'Figure 1.14'!A1" display="Figure 1.14. Difference in Projected and Actual Real Public Wage Growth" xr:uid="{5242FBF4-3FC2-4E7C-A0BE-DF9631581AB1}"/>
    <hyperlink ref="B47:K47" location="'Figure 1.13'!A1" display="Figure 1.13. Inflation Effects on Different Types of Expenditures: Expenditure Forecast Errors" xr:uid="{C37FDA39-D27A-418E-B11D-140CC1F33968}"/>
    <hyperlink ref="B46:K46" location="'Figure 1.12'!A1" display="Figure 1.12. What Share of Revenue Surprises Was Saved?" xr:uid="{F7770952-D0CF-439B-A422-DC7594FD93EC}"/>
    <hyperlink ref="B45:K45" location="'Figure 1.11'!A1" display="Figure 1.11. Drivers of Annual Change in General Government Debt, 2021–22" xr:uid="{B01ACA33-CAD9-4C28-8EED-EEE152953D3E}"/>
    <hyperlink ref="B44:K44" location="'Figure 1.10'!A1" display="Figure 1.10. Drivers of Change in General Government Debt" xr:uid="{BC2C0BC2-DF18-4566-9BEB-4F1AE95C1C36}"/>
    <hyperlink ref="B31:K31" location="'Table 1.2.'!A1" display="Table 1.2. General Government Debt, 2017–27" xr:uid="{97F99E41-9193-44B5-9B54-D9C0B2E18E37}"/>
    <hyperlink ref="B30:K30" location="'Table 1.1.'!A1" display="Table 1.1. General Government Overall Fiscal Balance, 2017–27" xr:uid="{D87FAB79-A2B4-4F44-A2C2-EB860E45662A}"/>
    <hyperlink ref="B31" location="'Figure 2.2'!A1" display="Figure 2.2" xr:uid="{66EA3257-DCAD-4370-A301-1B6AB5624461}"/>
    <hyperlink ref="B30" location="'Figure 2.1'!A1" display="Figure 2.1" xr:uid="{41ADAEE3-DC23-47BE-B50F-B7F581E71228}"/>
    <hyperlink ref="B41:K41" location="'Figure 1.7'!A1" display="Figure 1.7. Drivers of Changes in the Fiscal Balance, 2022–23" xr:uid="{3A913799-1807-4DF0-9CF8-97EF9E494A14}"/>
    <hyperlink ref="B40:K40" location="'Figure 1.6'!A1" display="Figure 1.6. Fiscal Impulse: Advanced Economies" xr:uid="{D72AB4AF-C77D-42B7-8C9F-FD7010FF1238}"/>
    <hyperlink ref="B39:K39" location="'Figure 1.5'!A1" display="Figure 1.5. Projected and Actual Primary Balance for 2022" xr:uid="{27E8BD70-3028-417D-8D25-5D25661E2A6A}"/>
    <hyperlink ref="B38:K38" location="'Figure 1.4'!A1" display="Figure 1.4. General Government Primary Balance and Debt, 2019–27" xr:uid="{7566EA7F-2950-4B22-9898-F535E613162F}"/>
    <hyperlink ref="B37:K37" location="'Figure 1.3'!A1" display="Figure 1.3. Sovereign Spreads by Income Group" xr:uid="{1034D700-3DF4-4426-B317-E2D034AA8895}"/>
    <hyperlink ref="B36:K36" location="'Figure 1.2'!A1" display="Figure 1.2. Low Growth, Rising Rates, and High Debt" xr:uid="{50B0BC8C-8289-434C-A8D8-141AC30B8238}"/>
    <hyperlink ref="B35:K35" location="'Figure 1.1'!A1" display="Figure 1.1. Monetary and Fiscal Policy Mix" xr:uid="{FE8D179F-3991-402F-B586-26ABEC2D3A07}"/>
    <hyperlink ref="B30:L30" location="'Table 1.1'!A1" display="Table 1.1. General Government Overall Fiscal Balance, 2018–28" xr:uid="{80574C12-D206-48E7-9FFC-30E63E7CEEAB}"/>
    <hyperlink ref="B31:L31" location="'Table 1.2'!A1" display="Table 1.2. General Government Debt, 2018–28" xr:uid="{7501FD25-695A-483F-9AF2-BD04D132D33A}"/>
    <hyperlink ref="B61:K61" location="'Figure 2.6.'!A1" display="Figure 2.6. Income, Consumption, and Wealth Channels, 2021−22" xr:uid="{CBE054F0-3D7F-4698-AF14-BDA0BA662BDF}"/>
    <hyperlink ref="B62:K62" location="'Figure 2.7.'!A1" display="Figure 2.7. Wealth Effect by Age and Income Brackets, 2021−22" xr:uid="{3A5E5399-925E-440D-8B0A-68F9DF383C49}"/>
    <hyperlink ref="B63:K63" location="'Figure 2.8.'!A1" display="Figure 2.8. Changes in Poverty from Different Types of Price Increase Shocks" xr:uid="{CFAB8003-39A3-4962-881D-1ACBB0263EC2}"/>
    <hyperlink ref="B64:K64" location="'Figure 2.9.'!A1" display="Figure 2.9. Panel Evidence of the Fiscal Policy Impact on Inflation, 1950–2019" xr:uid="{770703E2-FD94-48C7-A2B2-D9C03C65EA3A}"/>
    <hyperlink ref="B65:K65" location="'Figure 2.10.'!A1" display="Figure 2.10. Fiscal Policy Impact on Inflation in the United States, 1939−2015" xr:uid="{5756AB47-6AEC-4F6F-8EF0-655AB5E05012}"/>
    <hyperlink ref="B66:K66" location="'Figure 2.11.'!A1" display="Figure 2.11. Disinflating via Different Policy Tightening Options in the HANK Model" xr:uid="{24247723-1998-4A47-A16D-68EC0A70BFF0}"/>
    <hyperlink ref="B67:K67" location="'Figure 2.1.1.'!A1" display="Figure 2.1.1. Effects of Public Wage Spikes on Private Wages and Core CPI Inflation" xr:uid="{F43C4883-9911-4A65-9DA4-3C7A285AE945}"/>
    <hyperlink ref="B68:K68" location="'Figure 2.3.1.'!A1" display="Figure 2.3.1. Inflation Differentials between Middle- and High-Income Families" xr:uid="{2750E719-3757-46E0-BE8E-5ED34DB32AB0}"/>
    <hyperlink ref="B69:K69" location="'Figure 2.4.1.'!A1" display="Figure 2.4.1. Surges in Public Expenditure, Revenue, and Debt over a Historical Span" xr:uid="{8CB9F286-BE11-4301-9C6B-6B347A469796}"/>
    <hyperlink ref="B70:K70" location="'Figure 2.4.2.'!A1" display="Figure 2.4.2. Price Level Rises with the World Wars" xr:uid="{7218EC67-B86F-4105-A624-F50A7B1F203E}"/>
    <hyperlink ref="B71:K71" location="'Figure 2.4.3.'!A1" display="Figure 2.4.3. Correlation between 2022 Changes in Fiscal Policy and in Core Inflation since 2019" xr:uid="{F0D3B328-7C67-4D0A-9579-17323B95C9C4}"/>
    <hyperlink ref="B91:K91" location="'Table A17.'!A1" display="'Table A17.'!A1" xr:uid="{3DC001B8-25CB-4F3C-86B5-589B4717A91E}"/>
    <hyperlink ref="B92:K92" location="'Table A18.'!A1" display="'Table A18.'!A1" xr:uid="{475A7BAC-B3E6-4471-9570-C11D55D3325C}"/>
    <hyperlink ref="B93:K93" location="'Table A19.'!A1" display="'Table A19.'!A1" xr:uid="{03CC952A-0664-404C-97A0-23056946205A}"/>
    <hyperlink ref="B94:K94" location="'Table A20.'!A1" display="'Table A20.'!A1" xr:uid="{A774A44B-D54C-43FB-BE79-BE9487F9B605}"/>
    <hyperlink ref="B95:K95" location="'Table A21.'!A1" display="'Table A21.'!A1" xr:uid="{DCCAA9D5-27A5-44A5-95A7-1D242E9AF666}"/>
    <hyperlink ref="B96:K96" location="'Table A22.'!A1" display="'Table A22.'!A1" xr:uid="{2AC193BD-BF9F-446D-9FAC-6595025090D3}"/>
    <hyperlink ref="B97:K97" location="'Table A23.'!A1" display="Table A23. Advanced Economies: Structural Fiscal Indicators" xr:uid="{F2373C00-A7CC-4C61-846E-1F8A8DCC47E5}"/>
    <hyperlink ref="B98:K98" location="'Table A24.'!A1" display="Table A24. Emerging Market and Middle-Income Economies: Structural Fiscal Indicators" xr:uid="{982DB9CA-9496-4F63-A331-88025202F015}"/>
    <hyperlink ref="B99:K99" location="'Table A25.'!A1" display="Table A25. Low-Income Developing Countries: Structural Fiscal Indicators" xr:uid="{3037D846-0731-48F1-84B6-9E16ACAAD989}"/>
    <hyperlink ref="B101:K101" location="'Table B.'!A1" display="Table B. Advanced Economies: Definition and Coverage of Fiscal Monitor Data" xr:uid="{059C06E1-2369-4148-A08B-D7DB5ECC4FF1}"/>
    <hyperlink ref="B102:K102" location="'Table C.'!A1" display="Table C. Emerging Market and Middle-Income Economies: Definition and Coverage of Fiscal Monitor Data" xr:uid="{1EB5916A-7EDE-4709-9C44-BC62779D7D2C}"/>
    <hyperlink ref="B103:K103" location="'Table D.'!A1" display="Table D. Low-Income Developing Countries: Definition and Coverage of Fiscal Monitor Data" xr:uid="{1629A2F3-A5D4-47A9-8CE3-584BE35E63A7}"/>
    <hyperlink ref="B100" location="'Table A. Economy Groupings'!A1" display="Table A. Economy Groupings" xr:uid="{4C577002-E0E1-42B6-967E-6BF1197BB486}"/>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5105-51F7-4A45-8C6D-50BEABC541BB}">
  <sheetPr>
    <outlinePr summaryBelow="0"/>
    <pageSetUpPr fitToPage="1"/>
  </sheetPr>
  <dimension ref="B2:O43"/>
  <sheetViews>
    <sheetView tabSelected="1" zoomScale="70" zoomScaleNormal="70" zoomScaleSheetLayoutView="85" workbookViewId="0">
      <pane xSplit="2" ySplit="3" topLeftCell="C4" activePane="bottomRight" state="frozen"/>
      <selection pane="bottomRight" activeCell="V8" sqref="V8"/>
      <selection pane="bottomLeft" activeCell="B88" sqref="B88:K88"/>
      <selection pane="topRight" activeCell="B88" sqref="B88:K88"/>
    </sheetView>
  </sheetViews>
  <sheetFormatPr defaultColWidth="9.140625" defaultRowHeight="12.75"/>
  <cols>
    <col min="1" max="1" width="4.7109375" style="181" customWidth="1"/>
    <col min="2" max="2" width="17.7109375" style="181" customWidth="1"/>
    <col min="3" max="15" width="6.7109375" style="181" customWidth="1"/>
    <col min="16" max="16" width="10.140625" style="181" customWidth="1"/>
    <col min="17" max="16384" width="9.140625" style="181"/>
  </cols>
  <sheetData>
    <row r="2" spans="2:15">
      <c r="B2" s="179"/>
      <c r="C2" s="180">
        <v>2019</v>
      </c>
      <c r="D2" s="180">
        <v>2020</v>
      </c>
      <c r="E2" s="180">
        <v>2021</v>
      </c>
      <c r="F2" s="180">
        <v>2022</v>
      </c>
      <c r="G2" s="180">
        <v>2023</v>
      </c>
      <c r="H2" s="180">
        <v>2024</v>
      </c>
      <c r="I2" s="180">
        <v>2025</v>
      </c>
      <c r="J2" s="180"/>
      <c r="K2" s="180"/>
      <c r="L2" s="180"/>
    </row>
    <row r="3" spans="2:15">
      <c r="C3" s="182"/>
      <c r="D3" s="182"/>
      <c r="E3" s="182"/>
      <c r="F3" s="182"/>
      <c r="G3" s="182"/>
      <c r="H3" s="182"/>
      <c r="I3" s="182"/>
      <c r="J3" s="182"/>
      <c r="K3" s="182"/>
      <c r="L3" s="182"/>
    </row>
    <row r="4" spans="2:15">
      <c r="C4" s="181">
        <v>2019</v>
      </c>
      <c r="D4" s="181">
        <v>20</v>
      </c>
      <c r="E4" s="181">
        <v>21</v>
      </c>
      <c r="F4" s="181">
        <v>22</v>
      </c>
      <c r="G4" s="181">
        <v>23</v>
      </c>
      <c r="H4" s="181">
        <v>24</v>
      </c>
      <c r="I4" s="181">
        <v>25</v>
      </c>
    </row>
    <row r="5" spans="2:15">
      <c r="B5" s="181" t="s">
        <v>220</v>
      </c>
      <c r="C5" s="183">
        <v>0.78994119422478803</v>
      </c>
      <c r="D5" s="183">
        <v>4.7853531662111841</v>
      </c>
      <c r="E5" s="183">
        <v>-1.0533090658414679</v>
      </c>
      <c r="F5" s="183">
        <v>-2.1283172628852762</v>
      </c>
      <c r="G5" s="183">
        <v>-0.19200345025064625</v>
      </c>
      <c r="H5" s="183">
        <v>-0.63285147368055839</v>
      </c>
      <c r="I5" s="183">
        <v>-0.17183578706871483</v>
      </c>
      <c r="J5" s="183"/>
      <c r="K5" s="183"/>
      <c r="L5" s="183"/>
    </row>
    <row r="6" spans="2:15">
      <c r="B6" s="181" t="s">
        <v>221</v>
      </c>
      <c r="C6" s="183">
        <v>0.51750732885231765</v>
      </c>
      <c r="D6" s="183">
        <v>9.3938354766742105</v>
      </c>
      <c r="E6" s="183">
        <v>-4.2145163388741071</v>
      </c>
      <c r="F6" s="183">
        <v>-1.7602955161702538</v>
      </c>
      <c r="G6" s="183">
        <v>-0.43370523421176355</v>
      </c>
      <c r="H6" s="183">
        <v>-1.294704510008168</v>
      </c>
      <c r="I6" s="183">
        <v>-0.23988052308254804</v>
      </c>
      <c r="J6" s="183"/>
      <c r="K6" s="183"/>
      <c r="L6" s="183"/>
    </row>
    <row r="7" spans="2:15">
      <c r="B7" s="181" t="s">
        <v>222</v>
      </c>
      <c r="C7" s="183">
        <v>0.80474279620362399</v>
      </c>
      <c r="D7" s="183">
        <v>4.9733749554900797</v>
      </c>
      <c r="E7" s="183">
        <v>-0.30671591242920648</v>
      </c>
      <c r="F7" s="183">
        <v>-4.5606779638933928</v>
      </c>
      <c r="G7" s="183">
        <v>0.33756037669372052</v>
      </c>
      <c r="H7" s="183">
        <v>-0.16287518303266513</v>
      </c>
      <c r="I7" s="183">
        <v>0.10279910950938032</v>
      </c>
      <c r="J7" s="183"/>
      <c r="K7" s="183"/>
      <c r="L7" s="183"/>
    </row>
    <row r="8" spans="2:15">
      <c r="B8" s="181" t="s">
        <v>223</v>
      </c>
      <c r="C8" s="183">
        <v>0.57784636552139457</v>
      </c>
      <c r="D8" s="183">
        <v>3.7841187259271249</v>
      </c>
      <c r="E8" s="183">
        <v>-0.20960732996545017</v>
      </c>
      <c r="F8" s="183">
        <v>-0.50089678680926752</v>
      </c>
      <c r="G8" s="183">
        <v>-0.4422717322619194</v>
      </c>
      <c r="H8" s="183">
        <v>-1.0452436745304723</v>
      </c>
      <c r="I8" s="183">
        <v>-0.41840697134955557</v>
      </c>
      <c r="J8" s="183"/>
      <c r="K8" s="183"/>
      <c r="L8" s="183"/>
    </row>
    <row r="9" spans="2:15">
      <c r="B9" s="181" t="s">
        <v>96</v>
      </c>
      <c r="C9" s="183">
        <v>0.40739022946758485</v>
      </c>
      <c r="D9" s="183">
        <v>4.8663094291630067</v>
      </c>
      <c r="E9" s="183">
        <v>-1.9019524805405839</v>
      </c>
      <c r="F9" s="183">
        <v>1.8104977841303</v>
      </c>
      <c r="G9" s="183">
        <v>-1.2029386884228517</v>
      </c>
      <c r="H9" s="183">
        <v>-2.2714206322433768</v>
      </c>
      <c r="I9" s="183">
        <v>-1.179930602778871</v>
      </c>
      <c r="J9" s="183"/>
      <c r="K9" s="183"/>
      <c r="L9" s="183"/>
    </row>
    <row r="14" spans="2:15">
      <c r="C14" s="184"/>
      <c r="D14" s="184"/>
      <c r="E14" s="184"/>
      <c r="F14" s="184"/>
      <c r="G14" s="184"/>
      <c r="H14" s="184"/>
      <c r="I14" s="184"/>
      <c r="J14" s="184"/>
      <c r="K14" s="184"/>
      <c r="L14" s="184"/>
      <c r="M14" s="184"/>
      <c r="N14" s="184"/>
      <c r="O14" s="184"/>
    </row>
    <row r="15" spans="2:15" ht="15.75">
      <c r="C15" s="184"/>
      <c r="D15" s="167" t="s">
        <v>224</v>
      </c>
      <c r="E15" s="184"/>
      <c r="F15" s="184"/>
      <c r="G15" s="184"/>
      <c r="H15" s="184"/>
      <c r="I15" s="184"/>
      <c r="J15" s="184"/>
      <c r="K15" s="184"/>
      <c r="L15" s="184"/>
      <c r="M15" s="184"/>
      <c r="N15" s="184"/>
      <c r="O15" s="184"/>
    </row>
    <row r="16" spans="2:15" ht="14.25">
      <c r="C16" s="184"/>
      <c r="D16" s="185" t="s">
        <v>225</v>
      </c>
      <c r="E16" s="184"/>
      <c r="F16" s="184"/>
      <c r="G16" s="184"/>
      <c r="H16" s="184"/>
      <c r="I16" s="184"/>
      <c r="J16" s="184"/>
      <c r="K16" s="184"/>
      <c r="L16" s="184"/>
      <c r="M16" s="184"/>
      <c r="N16" s="184"/>
      <c r="O16" s="184"/>
    </row>
    <row r="17" spans="3:15">
      <c r="C17" s="184"/>
      <c r="D17" s="184"/>
      <c r="E17" s="184"/>
      <c r="F17" s="184"/>
      <c r="G17" s="184"/>
      <c r="H17" s="184"/>
      <c r="I17" s="184"/>
      <c r="J17" s="184"/>
      <c r="K17" s="184"/>
      <c r="L17" s="184"/>
      <c r="M17" s="184"/>
      <c r="N17" s="184"/>
      <c r="O17" s="184"/>
    </row>
    <row r="18" spans="3:15">
      <c r="C18" s="184"/>
      <c r="D18" s="184"/>
      <c r="E18" s="184"/>
      <c r="F18" s="184"/>
      <c r="G18" s="184"/>
      <c r="H18" s="184"/>
      <c r="I18" s="184"/>
      <c r="J18" s="184"/>
      <c r="K18" s="184"/>
      <c r="L18" s="184"/>
      <c r="M18" s="184"/>
      <c r="N18" s="184"/>
      <c r="O18" s="184"/>
    </row>
    <row r="19" spans="3:15">
      <c r="C19" s="184"/>
      <c r="D19" s="184"/>
      <c r="E19" s="184"/>
      <c r="F19" s="184"/>
      <c r="G19" s="184"/>
      <c r="H19" s="184"/>
      <c r="I19" s="184"/>
      <c r="J19" s="184"/>
      <c r="K19" s="184"/>
      <c r="L19" s="184"/>
      <c r="M19" s="184"/>
      <c r="N19" s="184"/>
      <c r="O19" s="184"/>
    </row>
    <row r="20" spans="3:15">
      <c r="C20" s="184"/>
      <c r="D20" s="184"/>
      <c r="E20" s="184"/>
      <c r="F20" s="184"/>
      <c r="G20" s="184"/>
      <c r="H20" s="184"/>
      <c r="I20" s="184"/>
      <c r="J20" s="184"/>
      <c r="K20" s="184"/>
      <c r="L20" s="184"/>
      <c r="M20" s="184"/>
      <c r="N20" s="184"/>
      <c r="O20" s="184"/>
    </row>
    <row r="21" spans="3:15">
      <c r="C21" s="184"/>
      <c r="D21" s="184"/>
      <c r="E21" s="184"/>
      <c r="F21" s="184"/>
      <c r="G21" s="184"/>
      <c r="H21" s="184"/>
      <c r="I21" s="184"/>
      <c r="J21" s="184"/>
      <c r="K21" s="184"/>
      <c r="L21" s="184"/>
      <c r="M21" s="184"/>
      <c r="N21" s="184"/>
      <c r="O21" s="184"/>
    </row>
    <row r="22" spans="3:15">
      <c r="C22" s="184"/>
      <c r="D22" s="184"/>
      <c r="E22" s="184"/>
      <c r="F22" s="184"/>
      <c r="G22" s="184"/>
      <c r="H22" s="184"/>
      <c r="I22" s="184"/>
      <c r="J22" s="184"/>
      <c r="K22" s="184"/>
      <c r="L22" s="184"/>
      <c r="M22" s="184"/>
      <c r="N22" s="184"/>
      <c r="O22" s="184"/>
    </row>
    <row r="23" spans="3:15">
      <c r="C23" s="184"/>
      <c r="D23" s="184"/>
      <c r="E23" s="184"/>
      <c r="F23" s="184"/>
      <c r="G23" s="184"/>
      <c r="H23" s="184"/>
      <c r="I23" s="184"/>
      <c r="J23" s="184"/>
      <c r="K23" s="184"/>
      <c r="L23" s="184"/>
      <c r="M23" s="184"/>
      <c r="N23" s="184"/>
      <c r="O23" s="184"/>
    </row>
    <row r="24" spans="3:15">
      <c r="C24" s="184"/>
      <c r="D24" s="184"/>
      <c r="E24" s="184"/>
      <c r="F24" s="184"/>
      <c r="G24" s="184"/>
      <c r="H24" s="184"/>
      <c r="I24" s="184"/>
      <c r="J24" s="184"/>
      <c r="K24" s="184"/>
      <c r="L24" s="184"/>
      <c r="M24" s="184"/>
      <c r="N24" s="184"/>
      <c r="O24" s="184"/>
    </row>
    <row r="25" spans="3:15">
      <c r="C25" s="184"/>
      <c r="D25" s="184"/>
      <c r="E25" s="184"/>
      <c r="F25" s="184"/>
      <c r="G25" s="184"/>
      <c r="H25" s="184"/>
      <c r="I25" s="184"/>
      <c r="J25" s="184"/>
      <c r="K25" s="184"/>
      <c r="L25" s="184"/>
      <c r="M25" s="184"/>
      <c r="N25" s="184"/>
      <c r="O25" s="184"/>
    </row>
    <row r="26" spans="3:15">
      <c r="C26" s="184"/>
      <c r="D26" s="184"/>
      <c r="E26" s="184"/>
      <c r="F26" s="184"/>
      <c r="G26" s="184"/>
      <c r="H26" s="184"/>
      <c r="I26" s="184"/>
      <c r="J26" s="184"/>
      <c r="K26" s="184"/>
      <c r="L26" s="184"/>
      <c r="M26" s="184"/>
      <c r="N26" s="184"/>
      <c r="O26" s="184"/>
    </row>
    <row r="27" spans="3:15">
      <c r="C27" s="184"/>
      <c r="D27" s="184"/>
      <c r="E27" s="184"/>
      <c r="F27" s="184"/>
      <c r="G27" s="184"/>
      <c r="H27" s="184"/>
      <c r="I27" s="184"/>
      <c r="J27" s="184"/>
      <c r="K27" s="184"/>
      <c r="L27" s="184"/>
      <c r="M27" s="184"/>
      <c r="N27" s="184"/>
      <c r="O27" s="184"/>
    </row>
    <row r="28" spans="3:15">
      <c r="C28" s="184"/>
      <c r="D28" s="184"/>
      <c r="E28" s="184"/>
      <c r="F28" s="184"/>
      <c r="G28" s="184"/>
      <c r="H28" s="184"/>
      <c r="I28" s="184"/>
      <c r="J28" s="184"/>
      <c r="K28" s="184"/>
      <c r="L28" s="184"/>
      <c r="M28" s="184"/>
      <c r="N28" s="184"/>
      <c r="O28" s="184"/>
    </row>
    <row r="29" spans="3:15">
      <c r="C29" s="184"/>
      <c r="D29" s="184"/>
      <c r="E29" s="184"/>
      <c r="F29" s="184"/>
      <c r="G29" s="184"/>
      <c r="H29" s="184"/>
      <c r="I29" s="184"/>
      <c r="J29" s="184"/>
      <c r="K29" s="184"/>
      <c r="L29" s="184"/>
      <c r="M29" s="184"/>
      <c r="N29" s="184"/>
      <c r="O29" s="184"/>
    </row>
    <row r="30" spans="3:15">
      <c r="C30" s="184"/>
      <c r="D30" s="184"/>
      <c r="E30" s="184"/>
      <c r="F30" s="184"/>
      <c r="G30" s="184"/>
      <c r="H30" s="184"/>
      <c r="I30" s="184"/>
      <c r="J30" s="184"/>
      <c r="K30" s="184"/>
      <c r="L30" s="184"/>
      <c r="M30" s="184"/>
      <c r="N30" s="184"/>
      <c r="O30" s="184"/>
    </row>
    <row r="31" spans="3:15">
      <c r="C31" s="184"/>
      <c r="D31" s="184"/>
      <c r="E31" s="184"/>
      <c r="F31" s="184"/>
      <c r="G31" s="184"/>
      <c r="H31" s="184"/>
      <c r="I31" s="184"/>
      <c r="J31" s="184"/>
      <c r="K31" s="184"/>
      <c r="L31" s="184"/>
      <c r="M31" s="184"/>
      <c r="N31" s="184"/>
      <c r="O31" s="184"/>
    </row>
    <row r="32" spans="3:15">
      <c r="C32" s="184"/>
      <c r="D32" s="184"/>
      <c r="E32" s="184"/>
      <c r="F32" s="184"/>
      <c r="G32" s="184"/>
      <c r="H32" s="184"/>
      <c r="I32" s="184"/>
      <c r="J32" s="184"/>
      <c r="K32" s="184"/>
      <c r="L32" s="184"/>
      <c r="M32" s="184"/>
      <c r="N32" s="184"/>
      <c r="O32" s="184"/>
    </row>
    <row r="33" spans="3:15">
      <c r="C33" s="184"/>
      <c r="D33" s="184"/>
      <c r="E33" s="184"/>
      <c r="F33" s="184"/>
      <c r="G33" s="184"/>
      <c r="H33" s="184"/>
      <c r="I33" s="184"/>
      <c r="J33" s="184"/>
      <c r="K33" s="184"/>
      <c r="L33" s="184"/>
      <c r="M33" s="184"/>
      <c r="N33" s="184"/>
      <c r="O33" s="184"/>
    </row>
    <row r="34" spans="3:15">
      <c r="C34" s="184"/>
      <c r="D34" s="184"/>
      <c r="E34" s="184"/>
      <c r="F34" s="184"/>
      <c r="G34" s="184"/>
      <c r="H34" s="184"/>
      <c r="I34" s="184"/>
      <c r="J34" s="184"/>
      <c r="K34" s="184"/>
      <c r="L34" s="184"/>
      <c r="M34" s="184"/>
      <c r="N34" s="184"/>
      <c r="O34" s="184"/>
    </row>
    <row r="35" spans="3:15">
      <c r="C35" s="184"/>
      <c r="D35" s="184"/>
      <c r="E35" s="184"/>
      <c r="F35" s="184"/>
      <c r="G35" s="184"/>
      <c r="H35" s="184"/>
      <c r="I35" s="184"/>
      <c r="J35" s="184"/>
      <c r="K35" s="184"/>
      <c r="L35" s="184"/>
      <c r="M35" s="184"/>
      <c r="N35" s="184"/>
      <c r="O35" s="184"/>
    </row>
    <row r="36" spans="3:15">
      <c r="C36" s="184"/>
      <c r="D36" s="184"/>
      <c r="E36" s="184"/>
      <c r="F36" s="184"/>
      <c r="G36" s="184"/>
      <c r="H36" s="184"/>
      <c r="I36" s="184"/>
      <c r="J36" s="184"/>
      <c r="K36" s="184"/>
      <c r="L36" s="184"/>
      <c r="M36" s="184"/>
      <c r="N36" s="184"/>
      <c r="O36" s="184"/>
    </row>
    <row r="37" spans="3:15">
      <c r="C37" s="184"/>
      <c r="D37" s="184"/>
      <c r="E37" s="184"/>
      <c r="F37" s="184"/>
      <c r="G37" s="184"/>
      <c r="H37" s="184"/>
      <c r="I37" s="184"/>
      <c r="J37" s="184"/>
      <c r="K37" s="184"/>
      <c r="L37" s="184"/>
      <c r="M37" s="184"/>
      <c r="N37" s="184"/>
      <c r="O37" s="184"/>
    </row>
    <row r="38" spans="3:15">
      <c r="C38" s="184"/>
      <c r="D38" s="184"/>
      <c r="E38" s="184"/>
      <c r="F38" s="184"/>
      <c r="G38" s="184"/>
      <c r="H38" s="184"/>
      <c r="I38" s="184"/>
      <c r="J38" s="184"/>
      <c r="K38" s="184"/>
      <c r="L38" s="184"/>
      <c r="M38" s="184"/>
      <c r="N38" s="184"/>
      <c r="O38" s="184"/>
    </row>
    <row r="39" spans="3:15">
      <c r="C39" s="184"/>
      <c r="D39" s="184"/>
      <c r="E39" s="184"/>
      <c r="F39" s="184"/>
      <c r="G39" s="184"/>
      <c r="H39" s="184"/>
      <c r="I39" s="184"/>
      <c r="J39" s="184"/>
      <c r="K39" s="184"/>
      <c r="L39" s="184"/>
      <c r="M39" s="184"/>
      <c r="N39" s="184"/>
      <c r="O39" s="184"/>
    </row>
    <row r="40" spans="3:15">
      <c r="C40" s="184"/>
      <c r="D40" s="184"/>
      <c r="E40" s="184"/>
      <c r="F40" s="184"/>
      <c r="G40" s="184"/>
      <c r="H40" s="184"/>
      <c r="I40" s="184"/>
      <c r="J40" s="184"/>
      <c r="K40" s="184"/>
      <c r="L40" s="184"/>
      <c r="M40" s="184"/>
      <c r="N40" s="184"/>
      <c r="O40" s="184"/>
    </row>
    <row r="41" spans="3:15">
      <c r="C41" s="184"/>
      <c r="D41" s="184"/>
      <c r="E41" s="184"/>
      <c r="F41" s="184"/>
      <c r="G41" s="184"/>
      <c r="H41" s="184"/>
      <c r="I41" s="184"/>
      <c r="J41" s="184"/>
      <c r="K41" s="184"/>
      <c r="L41" s="184"/>
      <c r="M41" s="184"/>
      <c r="N41" s="184"/>
      <c r="O41" s="184"/>
    </row>
    <row r="42" spans="3:15">
      <c r="C42" s="184"/>
      <c r="D42" s="184"/>
      <c r="E42" s="184"/>
      <c r="F42" s="184"/>
      <c r="G42" s="184"/>
      <c r="H42" s="184"/>
      <c r="I42" s="184"/>
      <c r="J42" s="184"/>
      <c r="K42" s="184"/>
      <c r="L42" s="184"/>
      <c r="M42" s="184"/>
      <c r="N42" s="184"/>
      <c r="O42" s="184"/>
    </row>
    <row r="43" spans="3:15">
      <c r="C43" s="184"/>
      <c r="D43" s="184"/>
      <c r="E43" s="184"/>
      <c r="F43" s="184"/>
      <c r="G43" s="184"/>
      <c r="H43" s="184"/>
      <c r="I43" s="184"/>
      <c r="J43" s="184"/>
      <c r="K43" s="184"/>
      <c r="L43" s="184"/>
      <c r="M43" s="184"/>
      <c r="N43" s="184"/>
      <c r="O43" s="184"/>
    </row>
  </sheetData>
  <pageMargins left="0.75" right="0.75" top="1" bottom="1" header="0.5" footer="0.5"/>
  <pageSetup scale="3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777ED-D61D-441E-B74B-E8086813AF2C}">
  <dimension ref="A1:Q58"/>
  <sheetViews>
    <sheetView zoomScale="70" zoomScaleNormal="70" workbookViewId="0">
      <selection activeCell="B88" sqref="B88:K88"/>
    </sheetView>
  </sheetViews>
  <sheetFormatPr defaultRowHeight="12.75"/>
  <cols>
    <col min="1" max="1" width="23.42578125" style="158" bestFit="1" customWidth="1"/>
    <col min="2" max="2" width="9.140625" style="158"/>
    <col min="3" max="3" width="19" style="158" bestFit="1" customWidth="1"/>
    <col min="4" max="16384" width="9.140625" style="158"/>
  </cols>
  <sheetData>
    <row r="1" spans="1:17">
      <c r="E1" s="158" t="s">
        <v>226</v>
      </c>
      <c r="F1" s="158" t="s">
        <v>227</v>
      </c>
      <c r="G1" s="158" t="s">
        <v>228</v>
      </c>
      <c r="H1" s="158" t="s">
        <v>229</v>
      </c>
    </row>
    <row r="2" spans="1:17">
      <c r="C2" s="592" t="s">
        <v>230</v>
      </c>
      <c r="D2" s="158">
        <v>2022</v>
      </c>
      <c r="E2" s="158">
        <v>1.01108677199068</v>
      </c>
      <c r="F2" s="158">
        <v>3.0261824130731751E-2</v>
      </c>
      <c r="G2" s="158">
        <v>1.0661507886807797</v>
      </c>
      <c r="H2" s="158">
        <v>2.1074993848021872</v>
      </c>
    </row>
    <row r="3" spans="1:17">
      <c r="C3" s="592"/>
      <c r="D3" s="158">
        <v>2023</v>
      </c>
      <c r="E3" s="158">
        <v>-1.9537941285454465</v>
      </c>
      <c r="F3" s="158">
        <v>-0.24401934709100082</v>
      </c>
      <c r="G3" s="158">
        <v>-0.89722399093787431</v>
      </c>
      <c r="H3" s="158">
        <v>-3.0950374665743103</v>
      </c>
    </row>
    <row r="4" spans="1:17">
      <c r="C4" s="158" t="s">
        <v>231</v>
      </c>
    </row>
    <row r="5" spans="1:17">
      <c r="C5" s="592" t="s">
        <v>232</v>
      </c>
      <c r="D5" s="158">
        <v>2022</v>
      </c>
      <c r="E5" s="158">
        <v>0.32378507369084275</v>
      </c>
      <c r="F5" s="158">
        <v>-0.12979672635083306</v>
      </c>
      <c r="G5" s="158">
        <v>5.2653699049677982E-2</v>
      </c>
      <c r="H5" s="158">
        <v>0.2466420463896819</v>
      </c>
    </row>
    <row r="6" spans="1:17">
      <c r="C6" s="592"/>
      <c r="D6" s="158">
        <v>2023</v>
      </c>
      <c r="E6" s="158">
        <v>-0.24913288366376207</v>
      </c>
      <c r="F6" s="158">
        <v>-0.22481296728791023</v>
      </c>
      <c r="G6" s="158">
        <v>0.82084459799321863</v>
      </c>
      <c r="H6" s="158">
        <v>0.34689874704154544</v>
      </c>
    </row>
    <row r="7" spans="1:17">
      <c r="C7" s="158" t="s">
        <v>231</v>
      </c>
    </row>
    <row r="8" spans="1:17">
      <c r="C8" s="592" t="s">
        <v>111</v>
      </c>
      <c r="D8" s="158">
        <v>2022</v>
      </c>
      <c r="E8" s="158">
        <v>-1.1040094103632505</v>
      </c>
      <c r="F8" s="158">
        <v>-1.9232010870789296E-2</v>
      </c>
      <c r="G8" s="158">
        <v>-0.37525470170225717</v>
      </c>
      <c r="H8" s="158">
        <v>-1.4984961229362925</v>
      </c>
    </row>
    <row r="9" spans="1:17">
      <c r="C9" s="592"/>
      <c r="D9" s="158">
        <v>2023</v>
      </c>
      <c r="E9" s="158">
        <v>0.10997552936773758</v>
      </c>
      <c r="F9" s="158">
        <v>-0.17271643098797007</v>
      </c>
      <c r="G9" s="158">
        <v>0.72852594169812335</v>
      </c>
      <c r="H9" s="158">
        <v>0.66578504007789174</v>
      </c>
    </row>
    <row r="10" spans="1:17">
      <c r="C10" s="158" t="s">
        <v>231</v>
      </c>
    </row>
    <row r="11" spans="1:17">
      <c r="C11" s="592" t="s">
        <v>119</v>
      </c>
      <c r="D11" s="158">
        <v>2022</v>
      </c>
      <c r="E11" s="158">
        <v>1.8741225755902562</v>
      </c>
      <c r="F11" s="158">
        <v>-1.3501915958412525</v>
      </c>
      <c r="G11" s="158">
        <v>-0.79796590066252548</v>
      </c>
      <c r="H11" s="158">
        <v>-0.27403492091350845</v>
      </c>
    </row>
    <row r="12" spans="1:17">
      <c r="C12" s="592"/>
      <c r="D12" s="158">
        <v>2023</v>
      </c>
      <c r="E12" s="158">
        <v>-2.8974132290607031</v>
      </c>
      <c r="F12" s="158">
        <v>-0.42135371023102586</v>
      </c>
      <c r="G12" s="158">
        <v>-0.90520532361689732</v>
      </c>
      <c r="H12" s="158">
        <v>-4.2239722629086351</v>
      </c>
    </row>
    <row r="14" spans="1:17">
      <c r="A14" s="166"/>
      <c r="B14" s="166"/>
      <c r="C14" s="166"/>
      <c r="D14" s="166"/>
      <c r="E14" s="166"/>
      <c r="F14" s="166"/>
      <c r="G14" s="166"/>
      <c r="H14" s="166"/>
      <c r="I14" s="166"/>
      <c r="J14" s="166"/>
      <c r="K14" s="166"/>
      <c r="L14" s="166"/>
      <c r="M14" s="166"/>
      <c r="N14" s="166"/>
      <c r="O14" s="166"/>
      <c r="P14" s="166"/>
      <c r="Q14" s="166"/>
    </row>
    <row r="15" spans="1:17" ht="15.75">
      <c r="A15" s="166"/>
      <c r="B15" s="166"/>
      <c r="C15" s="186" t="s">
        <v>233</v>
      </c>
      <c r="D15" s="166"/>
      <c r="E15" s="166"/>
      <c r="F15" s="166"/>
      <c r="G15" s="166"/>
      <c r="H15" s="166"/>
      <c r="I15" s="166"/>
      <c r="J15" s="166"/>
      <c r="K15" s="166"/>
      <c r="L15" s="166"/>
      <c r="M15" s="166"/>
      <c r="N15" s="166"/>
      <c r="O15" s="166"/>
      <c r="P15" s="166"/>
      <c r="Q15" s="166"/>
    </row>
    <row r="16" spans="1:17" ht="14.25">
      <c r="A16" s="166"/>
      <c r="B16" s="166"/>
      <c r="C16" s="185" t="s">
        <v>81</v>
      </c>
      <c r="D16" s="166"/>
      <c r="E16" s="166"/>
      <c r="F16" s="166"/>
      <c r="G16" s="166"/>
      <c r="H16" s="166"/>
      <c r="I16" s="166"/>
      <c r="J16" s="166"/>
      <c r="K16" s="166"/>
      <c r="L16" s="166"/>
      <c r="M16" s="166"/>
      <c r="N16" s="166"/>
      <c r="O16" s="166"/>
      <c r="P16" s="166"/>
      <c r="Q16" s="166"/>
    </row>
    <row r="17" spans="1:17">
      <c r="A17" s="166"/>
      <c r="B17" s="166"/>
      <c r="C17" s="166"/>
      <c r="D17" s="166"/>
      <c r="E17" s="166"/>
      <c r="F17" s="166"/>
      <c r="G17" s="166"/>
      <c r="H17" s="166"/>
      <c r="I17" s="166"/>
      <c r="J17" s="166"/>
      <c r="K17" s="166"/>
      <c r="L17" s="166"/>
      <c r="M17" s="166"/>
      <c r="N17" s="166"/>
      <c r="O17" s="166"/>
      <c r="P17" s="166"/>
      <c r="Q17" s="166"/>
    </row>
    <row r="18" spans="1:17">
      <c r="A18" s="166"/>
      <c r="B18" s="166"/>
      <c r="C18" s="166"/>
      <c r="D18" s="166"/>
      <c r="E18" s="166"/>
      <c r="F18" s="166"/>
      <c r="G18" s="166"/>
      <c r="H18" s="166"/>
      <c r="I18" s="166"/>
      <c r="J18" s="166"/>
      <c r="K18" s="166"/>
      <c r="L18" s="166"/>
      <c r="M18" s="166"/>
      <c r="N18" s="166"/>
      <c r="O18" s="166"/>
      <c r="P18" s="166"/>
      <c r="Q18" s="166"/>
    </row>
    <row r="19" spans="1:17">
      <c r="A19" s="166"/>
      <c r="B19" s="166"/>
      <c r="C19" s="166"/>
      <c r="D19" s="166"/>
      <c r="E19" s="166"/>
      <c r="F19" s="166"/>
      <c r="G19" s="166"/>
      <c r="H19" s="166"/>
      <c r="I19" s="166"/>
      <c r="J19" s="166"/>
      <c r="K19" s="166"/>
      <c r="L19" s="166"/>
      <c r="M19" s="166"/>
      <c r="N19" s="166"/>
      <c r="O19" s="166"/>
      <c r="P19" s="166"/>
      <c r="Q19" s="166"/>
    </row>
    <row r="20" spans="1:17">
      <c r="A20" s="166"/>
      <c r="B20" s="166"/>
      <c r="C20" s="166"/>
      <c r="D20" s="166"/>
      <c r="E20" s="166"/>
      <c r="F20" s="166"/>
      <c r="G20" s="166"/>
      <c r="H20" s="166"/>
      <c r="I20" s="166"/>
      <c r="J20" s="166"/>
      <c r="K20" s="166"/>
      <c r="L20" s="166"/>
      <c r="M20" s="166"/>
      <c r="N20" s="166"/>
      <c r="O20" s="166"/>
      <c r="P20" s="166"/>
      <c r="Q20" s="166"/>
    </row>
    <row r="21" spans="1:17">
      <c r="A21" s="166"/>
      <c r="B21" s="166"/>
      <c r="C21" s="166"/>
      <c r="D21" s="166"/>
      <c r="E21" s="166"/>
      <c r="F21" s="166"/>
      <c r="G21" s="166"/>
      <c r="H21" s="166"/>
      <c r="I21" s="166"/>
      <c r="J21" s="166"/>
      <c r="K21" s="166"/>
      <c r="L21" s="166"/>
      <c r="M21" s="166"/>
      <c r="N21" s="166"/>
      <c r="O21" s="166"/>
      <c r="P21" s="166"/>
      <c r="Q21" s="166"/>
    </row>
    <row r="22" spans="1:17">
      <c r="A22" s="166"/>
      <c r="B22" s="166"/>
      <c r="C22" s="166"/>
      <c r="D22" s="166"/>
      <c r="E22" s="166"/>
      <c r="F22" s="166"/>
      <c r="G22" s="166"/>
      <c r="H22" s="166"/>
      <c r="I22" s="166"/>
      <c r="J22" s="166"/>
      <c r="K22" s="166"/>
      <c r="L22" s="166"/>
      <c r="M22" s="166"/>
      <c r="N22" s="166"/>
      <c r="O22" s="166"/>
      <c r="P22" s="166"/>
      <c r="Q22" s="166"/>
    </row>
    <row r="23" spans="1:17">
      <c r="A23" s="166"/>
      <c r="B23" s="166"/>
      <c r="C23" s="166"/>
      <c r="D23" s="166"/>
      <c r="E23" s="166"/>
      <c r="F23" s="166"/>
      <c r="G23" s="166"/>
      <c r="H23" s="166"/>
      <c r="I23" s="166"/>
      <c r="J23" s="166"/>
      <c r="K23" s="166"/>
      <c r="L23" s="166"/>
      <c r="M23" s="166"/>
      <c r="N23" s="166"/>
      <c r="O23" s="166"/>
      <c r="P23" s="166"/>
      <c r="Q23" s="166"/>
    </row>
    <row r="24" spans="1:17">
      <c r="A24" s="166"/>
      <c r="B24" s="166"/>
      <c r="C24" s="166"/>
      <c r="D24" s="166"/>
      <c r="E24" s="166"/>
      <c r="F24" s="166"/>
      <c r="G24" s="166"/>
      <c r="H24" s="166"/>
      <c r="I24" s="166"/>
      <c r="J24" s="166"/>
      <c r="K24" s="166"/>
      <c r="L24" s="166"/>
      <c r="M24" s="166"/>
      <c r="N24" s="166"/>
      <c r="O24" s="166"/>
      <c r="P24" s="166"/>
      <c r="Q24" s="166"/>
    </row>
    <row r="25" spans="1:17">
      <c r="A25" s="166"/>
      <c r="B25" s="166"/>
      <c r="C25" s="166"/>
      <c r="D25" s="166"/>
      <c r="E25" s="166"/>
      <c r="F25" s="166"/>
      <c r="G25" s="166"/>
      <c r="H25" s="166"/>
      <c r="I25" s="166"/>
      <c r="J25" s="166"/>
      <c r="K25" s="166"/>
      <c r="L25" s="166"/>
      <c r="M25" s="166"/>
      <c r="N25" s="166"/>
      <c r="O25" s="166"/>
      <c r="P25" s="166"/>
      <c r="Q25" s="166"/>
    </row>
    <row r="26" spans="1:17">
      <c r="A26" s="166"/>
      <c r="B26" s="166"/>
      <c r="C26" s="166"/>
      <c r="D26" s="166"/>
      <c r="E26" s="166"/>
      <c r="F26" s="166"/>
      <c r="G26" s="166"/>
      <c r="H26" s="166"/>
      <c r="I26" s="166"/>
      <c r="J26" s="166"/>
      <c r="K26" s="166"/>
      <c r="L26" s="166"/>
      <c r="M26" s="166"/>
      <c r="N26" s="166"/>
      <c r="O26" s="166"/>
      <c r="P26" s="166"/>
      <c r="Q26" s="166"/>
    </row>
    <row r="27" spans="1:17">
      <c r="A27" s="166"/>
      <c r="B27" s="166"/>
      <c r="C27" s="166"/>
      <c r="D27" s="166"/>
      <c r="E27" s="166"/>
      <c r="F27" s="166"/>
      <c r="G27" s="166"/>
      <c r="H27" s="166"/>
      <c r="I27" s="166"/>
      <c r="J27" s="166"/>
      <c r="K27" s="166"/>
      <c r="L27" s="166"/>
      <c r="M27" s="166"/>
      <c r="N27" s="166"/>
      <c r="O27" s="166"/>
      <c r="P27" s="166"/>
      <c r="Q27" s="166"/>
    </row>
    <row r="28" spans="1:17">
      <c r="A28" s="166"/>
      <c r="B28" s="166"/>
      <c r="C28" s="166"/>
      <c r="D28" s="166"/>
      <c r="E28" s="166"/>
      <c r="F28" s="166"/>
      <c r="G28" s="166"/>
      <c r="H28" s="166"/>
      <c r="I28" s="166"/>
      <c r="J28" s="166"/>
      <c r="K28" s="166"/>
      <c r="L28" s="166"/>
      <c r="M28" s="166"/>
      <c r="N28" s="166"/>
      <c r="O28" s="166"/>
      <c r="P28" s="166"/>
      <c r="Q28" s="166"/>
    </row>
    <row r="29" spans="1:17">
      <c r="A29" s="166"/>
      <c r="B29" s="166"/>
      <c r="C29" s="166"/>
      <c r="D29" s="166"/>
      <c r="E29" s="166"/>
      <c r="F29" s="166"/>
      <c r="G29" s="166"/>
      <c r="H29" s="166"/>
      <c r="I29" s="166"/>
      <c r="J29" s="166"/>
      <c r="K29" s="166"/>
      <c r="L29" s="166"/>
      <c r="M29" s="166"/>
      <c r="N29" s="166"/>
      <c r="O29" s="166"/>
      <c r="P29" s="166"/>
      <c r="Q29" s="166"/>
    </row>
    <row r="30" spans="1:17">
      <c r="A30" s="166"/>
      <c r="B30" s="166"/>
      <c r="C30" s="166"/>
      <c r="D30" s="166"/>
      <c r="E30" s="166"/>
      <c r="F30" s="166"/>
      <c r="G30" s="166"/>
      <c r="H30" s="166"/>
      <c r="I30" s="166"/>
      <c r="J30" s="166"/>
      <c r="K30" s="166"/>
      <c r="L30" s="166"/>
      <c r="M30" s="166"/>
      <c r="N30" s="166"/>
      <c r="O30" s="166"/>
      <c r="P30" s="166"/>
      <c r="Q30" s="166"/>
    </row>
    <row r="31" spans="1:17">
      <c r="A31" s="166"/>
      <c r="B31" s="166"/>
      <c r="C31" s="166"/>
      <c r="D31" s="166"/>
      <c r="E31" s="166"/>
      <c r="F31" s="166"/>
      <c r="G31" s="166"/>
      <c r="H31" s="166"/>
      <c r="I31" s="166"/>
      <c r="J31" s="166"/>
      <c r="K31" s="166"/>
      <c r="L31" s="166"/>
      <c r="M31" s="166"/>
      <c r="N31" s="166"/>
      <c r="O31" s="166"/>
      <c r="P31" s="166"/>
      <c r="Q31" s="166"/>
    </row>
    <row r="32" spans="1:17">
      <c r="A32" s="166"/>
      <c r="B32" s="166"/>
      <c r="C32" s="166"/>
      <c r="D32" s="166"/>
      <c r="E32" s="166"/>
      <c r="F32" s="166"/>
      <c r="G32" s="166"/>
      <c r="H32" s="166"/>
      <c r="I32" s="166"/>
      <c r="J32" s="166"/>
      <c r="K32" s="166"/>
      <c r="L32" s="166"/>
      <c r="M32" s="166"/>
      <c r="N32" s="166"/>
      <c r="O32" s="166"/>
      <c r="P32" s="166"/>
      <c r="Q32" s="166"/>
    </row>
    <row r="33" spans="1:17">
      <c r="A33" s="166"/>
      <c r="B33" s="166"/>
      <c r="C33" s="166"/>
      <c r="D33" s="166"/>
      <c r="E33" s="166"/>
      <c r="F33" s="166"/>
      <c r="G33" s="166"/>
      <c r="H33" s="166"/>
      <c r="I33" s="166"/>
      <c r="J33" s="166"/>
      <c r="K33" s="166"/>
      <c r="L33" s="166"/>
      <c r="M33" s="166"/>
      <c r="N33" s="166"/>
      <c r="O33" s="166"/>
      <c r="P33" s="166"/>
      <c r="Q33" s="166"/>
    </row>
    <row r="34" spans="1:17">
      <c r="A34" s="166"/>
      <c r="B34" s="166"/>
      <c r="C34" s="166"/>
      <c r="D34" s="166"/>
      <c r="E34" s="166"/>
      <c r="F34" s="166"/>
      <c r="G34" s="166"/>
      <c r="H34" s="166"/>
      <c r="I34" s="166"/>
      <c r="J34" s="166"/>
      <c r="K34" s="166"/>
      <c r="L34" s="166"/>
      <c r="M34" s="166"/>
      <c r="N34" s="166"/>
      <c r="O34" s="166"/>
      <c r="P34" s="166"/>
      <c r="Q34" s="166"/>
    </row>
    <row r="35" spans="1:17">
      <c r="A35" s="166"/>
      <c r="B35" s="166"/>
      <c r="C35" s="166"/>
      <c r="D35" s="166"/>
      <c r="E35" s="166"/>
      <c r="F35" s="166"/>
      <c r="G35" s="166"/>
      <c r="H35" s="166"/>
      <c r="I35" s="166"/>
      <c r="J35" s="166"/>
      <c r="K35" s="166"/>
      <c r="L35" s="166"/>
      <c r="M35" s="166"/>
      <c r="N35" s="166"/>
      <c r="O35" s="166"/>
      <c r="P35" s="166"/>
      <c r="Q35" s="166"/>
    </row>
    <row r="36" spans="1:17">
      <c r="A36" s="166"/>
      <c r="B36" s="166"/>
      <c r="C36" s="166"/>
      <c r="D36" s="166"/>
      <c r="E36" s="166"/>
      <c r="F36" s="166"/>
      <c r="G36" s="166"/>
      <c r="H36" s="166"/>
      <c r="I36" s="166"/>
      <c r="J36" s="166"/>
      <c r="K36" s="166"/>
      <c r="L36" s="166"/>
      <c r="M36" s="166"/>
      <c r="N36" s="166"/>
      <c r="O36" s="166"/>
      <c r="P36" s="166"/>
      <c r="Q36" s="166"/>
    </row>
    <row r="37" spans="1:17">
      <c r="A37" s="166"/>
      <c r="B37" s="166"/>
      <c r="C37" s="166"/>
      <c r="D37" s="166"/>
      <c r="E37" s="166"/>
      <c r="F37" s="166"/>
      <c r="G37" s="166"/>
      <c r="H37" s="166"/>
      <c r="I37" s="166"/>
      <c r="J37" s="166"/>
      <c r="K37" s="166"/>
      <c r="L37" s="166"/>
      <c r="M37" s="166"/>
      <c r="N37" s="166"/>
      <c r="O37" s="166"/>
      <c r="P37" s="166"/>
      <c r="Q37" s="166"/>
    </row>
    <row r="38" spans="1:17">
      <c r="A38" s="166"/>
      <c r="B38" s="166"/>
      <c r="C38" s="166"/>
      <c r="D38" s="166"/>
      <c r="E38" s="166"/>
      <c r="F38" s="166"/>
      <c r="G38" s="166"/>
      <c r="H38" s="166"/>
      <c r="I38" s="166"/>
      <c r="J38" s="166"/>
      <c r="K38" s="166"/>
      <c r="L38" s="166"/>
      <c r="M38" s="166"/>
      <c r="N38" s="166"/>
      <c r="O38" s="166"/>
      <c r="P38" s="166"/>
      <c r="Q38" s="166"/>
    </row>
    <row r="39" spans="1:17">
      <c r="A39" s="166"/>
      <c r="B39" s="166"/>
      <c r="C39" s="166"/>
      <c r="D39" s="166"/>
      <c r="E39" s="166"/>
      <c r="F39" s="166"/>
      <c r="G39" s="166"/>
      <c r="H39" s="166"/>
      <c r="I39" s="166"/>
      <c r="J39" s="166"/>
      <c r="K39" s="166"/>
      <c r="L39" s="166"/>
      <c r="M39" s="166"/>
      <c r="N39" s="166"/>
      <c r="O39" s="166"/>
      <c r="P39" s="166"/>
      <c r="Q39" s="166"/>
    </row>
    <row r="40" spans="1:17">
      <c r="A40" s="166"/>
      <c r="B40" s="166"/>
      <c r="C40" s="166"/>
      <c r="D40" s="166"/>
      <c r="E40" s="166"/>
      <c r="F40" s="166"/>
      <c r="G40" s="166"/>
      <c r="H40" s="166"/>
      <c r="I40" s="166"/>
      <c r="J40" s="166"/>
      <c r="K40" s="166"/>
      <c r="L40" s="166"/>
      <c r="M40" s="166"/>
      <c r="N40" s="166"/>
      <c r="O40" s="166"/>
      <c r="P40" s="166"/>
      <c r="Q40" s="166"/>
    </row>
    <row r="41" spans="1:17">
      <c r="A41" s="166"/>
      <c r="B41" s="166"/>
      <c r="C41" s="166"/>
      <c r="D41" s="166"/>
      <c r="E41" s="166"/>
      <c r="F41" s="166"/>
      <c r="G41" s="166"/>
      <c r="H41" s="166"/>
      <c r="I41" s="166"/>
      <c r="J41" s="166"/>
      <c r="K41" s="166"/>
      <c r="L41" s="166"/>
      <c r="M41" s="166"/>
      <c r="N41" s="166"/>
      <c r="O41" s="166"/>
      <c r="P41" s="166"/>
      <c r="Q41" s="166"/>
    </row>
    <row r="42" spans="1:17">
      <c r="A42" s="166"/>
      <c r="B42" s="166"/>
      <c r="C42" s="166"/>
      <c r="D42" s="166"/>
      <c r="E42" s="166"/>
      <c r="F42" s="166"/>
      <c r="G42" s="166"/>
      <c r="H42" s="166"/>
      <c r="I42" s="166"/>
      <c r="J42" s="166"/>
      <c r="K42" s="166"/>
      <c r="L42" s="166"/>
      <c r="M42" s="166"/>
      <c r="N42" s="166"/>
      <c r="O42" s="166"/>
      <c r="P42" s="166"/>
      <c r="Q42" s="166"/>
    </row>
    <row r="43" spans="1:17">
      <c r="A43" s="166"/>
      <c r="B43" s="166"/>
      <c r="C43" s="166"/>
      <c r="D43" s="166"/>
      <c r="E43" s="166"/>
      <c r="F43" s="166"/>
      <c r="G43" s="166"/>
      <c r="H43" s="166"/>
      <c r="I43" s="166"/>
      <c r="J43" s="166"/>
      <c r="K43" s="166"/>
      <c r="L43" s="166"/>
      <c r="M43" s="166"/>
      <c r="N43" s="166"/>
      <c r="O43" s="166"/>
      <c r="P43" s="166"/>
      <c r="Q43" s="166"/>
    </row>
    <row r="44" spans="1:17">
      <c r="A44" s="166"/>
      <c r="B44" s="166"/>
      <c r="C44" s="166"/>
      <c r="D44" s="166"/>
      <c r="E44" s="166"/>
      <c r="F44" s="166"/>
      <c r="G44" s="166"/>
      <c r="H44" s="166"/>
      <c r="I44" s="166"/>
      <c r="J44" s="166"/>
      <c r="K44" s="166"/>
      <c r="L44" s="166"/>
      <c r="M44" s="166"/>
      <c r="N44" s="166"/>
      <c r="O44" s="166"/>
      <c r="P44" s="166"/>
      <c r="Q44" s="166"/>
    </row>
    <row r="45" spans="1:17">
      <c r="A45" s="166"/>
      <c r="B45" s="166"/>
      <c r="C45" s="166"/>
      <c r="D45" s="166"/>
      <c r="E45" s="166"/>
      <c r="F45" s="166"/>
      <c r="G45" s="166"/>
      <c r="H45" s="166"/>
      <c r="I45" s="166"/>
      <c r="J45" s="166"/>
      <c r="K45" s="166"/>
      <c r="L45" s="166"/>
      <c r="M45" s="166"/>
      <c r="N45" s="166"/>
      <c r="O45" s="166"/>
      <c r="P45" s="166"/>
      <c r="Q45" s="166"/>
    </row>
    <row r="46" spans="1:17">
      <c r="A46" s="166"/>
      <c r="B46" s="166"/>
      <c r="C46" s="166"/>
      <c r="D46" s="166"/>
      <c r="E46" s="166"/>
      <c r="F46" s="166"/>
      <c r="G46" s="166"/>
      <c r="H46" s="166"/>
      <c r="I46" s="166"/>
      <c r="J46" s="166"/>
      <c r="K46" s="166"/>
      <c r="L46" s="166"/>
      <c r="M46" s="166"/>
      <c r="N46" s="166"/>
      <c r="O46" s="166"/>
      <c r="P46" s="166"/>
      <c r="Q46" s="166"/>
    </row>
    <row r="47" spans="1:17">
      <c r="A47" s="166"/>
      <c r="B47" s="166"/>
      <c r="C47" s="166"/>
      <c r="D47" s="166"/>
      <c r="E47" s="166"/>
      <c r="F47" s="166"/>
      <c r="G47" s="166"/>
      <c r="H47" s="166"/>
      <c r="I47" s="166"/>
      <c r="J47" s="166"/>
      <c r="K47" s="166"/>
      <c r="L47" s="166"/>
      <c r="M47" s="166"/>
      <c r="N47" s="166"/>
      <c r="O47" s="166"/>
      <c r="P47" s="166"/>
      <c r="Q47" s="166"/>
    </row>
    <row r="48" spans="1:17">
      <c r="A48" s="166"/>
      <c r="B48" s="166"/>
      <c r="C48" s="166"/>
      <c r="D48" s="166"/>
      <c r="E48" s="166"/>
      <c r="F48" s="166"/>
      <c r="G48" s="166"/>
      <c r="H48" s="166"/>
      <c r="I48" s="166"/>
      <c r="J48" s="166"/>
      <c r="K48" s="166"/>
      <c r="L48" s="166"/>
      <c r="M48" s="166"/>
      <c r="N48" s="166"/>
      <c r="O48" s="166"/>
      <c r="P48" s="166"/>
      <c r="Q48" s="166"/>
    </row>
    <row r="49" spans="1:17">
      <c r="A49" s="166"/>
      <c r="B49" s="166"/>
      <c r="C49" s="166"/>
      <c r="D49" s="166"/>
      <c r="E49" s="166"/>
      <c r="F49" s="166"/>
      <c r="G49" s="166"/>
      <c r="H49" s="166"/>
      <c r="I49" s="166"/>
      <c r="J49" s="166"/>
      <c r="K49" s="166"/>
      <c r="L49" s="166"/>
      <c r="M49" s="166"/>
      <c r="N49" s="166"/>
      <c r="O49" s="166"/>
      <c r="P49" s="166"/>
      <c r="Q49" s="166"/>
    </row>
    <row r="50" spans="1:17">
      <c r="A50" s="166"/>
      <c r="B50" s="166"/>
      <c r="C50" s="166"/>
      <c r="D50" s="166"/>
      <c r="E50" s="166"/>
      <c r="F50" s="166"/>
      <c r="G50" s="166"/>
      <c r="H50" s="166"/>
      <c r="I50" s="166"/>
      <c r="J50" s="166"/>
      <c r="K50" s="166"/>
      <c r="L50" s="166"/>
      <c r="M50" s="166"/>
      <c r="N50" s="166"/>
      <c r="O50" s="166"/>
      <c r="P50" s="166"/>
      <c r="Q50" s="166"/>
    </row>
    <row r="51" spans="1:17">
      <c r="A51" s="166"/>
      <c r="B51" s="166"/>
      <c r="C51" s="166"/>
      <c r="D51" s="166"/>
      <c r="E51" s="166"/>
      <c r="F51" s="166"/>
      <c r="G51" s="166"/>
      <c r="H51" s="166"/>
      <c r="I51" s="166"/>
      <c r="J51" s="166"/>
      <c r="K51" s="166"/>
      <c r="L51" s="166"/>
      <c r="M51" s="166"/>
      <c r="N51" s="166"/>
      <c r="O51" s="166"/>
      <c r="P51" s="166"/>
      <c r="Q51" s="166"/>
    </row>
    <row r="52" spans="1:17">
      <c r="A52" s="166"/>
      <c r="B52" s="166"/>
      <c r="C52" s="166"/>
      <c r="D52" s="166"/>
      <c r="E52" s="166"/>
      <c r="F52" s="166"/>
      <c r="G52" s="166"/>
      <c r="H52" s="166"/>
      <c r="I52" s="166"/>
      <c r="J52" s="166"/>
      <c r="K52" s="166"/>
      <c r="L52" s="166"/>
      <c r="M52" s="166"/>
      <c r="N52" s="166"/>
      <c r="O52" s="166"/>
      <c r="P52" s="166"/>
      <c r="Q52" s="166"/>
    </row>
    <row r="53" spans="1:17">
      <c r="A53" s="166"/>
      <c r="B53" s="166"/>
      <c r="C53" s="166"/>
      <c r="D53" s="166"/>
      <c r="E53" s="166"/>
      <c r="F53" s="166"/>
      <c r="G53" s="166"/>
      <c r="H53" s="166"/>
      <c r="I53" s="166"/>
      <c r="J53" s="166"/>
      <c r="K53" s="166"/>
      <c r="L53" s="166"/>
      <c r="M53" s="166"/>
      <c r="N53" s="166"/>
      <c r="O53" s="166"/>
      <c r="P53" s="166"/>
      <c r="Q53" s="166"/>
    </row>
    <row r="54" spans="1:17">
      <c r="A54" s="166"/>
      <c r="B54" s="166"/>
      <c r="C54" s="166"/>
      <c r="D54" s="166"/>
      <c r="E54" s="166"/>
      <c r="F54" s="166"/>
      <c r="G54" s="166"/>
      <c r="H54" s="166"/>
      <c r="I54" s="166"/>
      <c r="J54" s="166"/>
      <c r="K54" s="166"/>
      <c r="L54" s="166"/>
      <c r="M54" s="166"/>
      <c r="N54" s="166"/>
      <c r="O54" s="166"/>
      <c r="P54" s="166"/>
      <c r="Q54" s="166"/>
    </row>
    <row r="55" spans="1:17">
      <c r="A55" s="166"/>
      <c r="B55" s="166"/>
      <c r="C55" s="166"/>
      <c r="D55" s="166"/>
      <c r="E55" s="166"/>
      <c r="F55" s="166"/>
      <c r="G55" s="166"/>
      <c r="H55" s="166"/>
      <c r="I55" s="166"/>
      <c r="J55" s="166"/>
      <c r="K55" s="166"/>
      <c r="L55" s="166"/>
      <c r="M55" s="166"/>
      <c r="N55" s="166"/>
      <c r="O55" s="166"/>
      <c r="P55" s="166"/>
      <c r="Q55" s="166"/>
    </row>
    <row r="56" spans="1:17">
      <c r="A56" s="166"/>
      <c r="B56" s="166"/>
      <c r="C56" s="166"/>
      <c r="D56" s="166"/>
      <c r="E56" s="166"/>
      <c r="F56" s="166"/>
      <c r="G56" s="166"/>
      <c r="H56" s="166"/>
      <c r="I56" s="166"/>
      <c r="J56" s="166"/>
      <c r="K56" s="166"/>
      <c r="L56" s="166"/>
      <c r="M56" s="166"/>
      <c r="N56" s="166"/>
      <c r="O56" s="166"/>
      <c r="P56" s="166"/>
      <c r="Q56" s="166"/>
    </row>
    <row r="57" spans="1:17">
      <c r="A57" s="166"/>
      <c r="B57" s="166"/>
      <c r="C57" s="166"/>
      <c r="D57" s="166"/>
      <c r="E57" s="166"/>
      <c r="F57" s="166"/>
      <c r="G57" s="166"/>
      <c r="H57" s="166"/>
      <c r="I57" s="166"/>
      <c r="J57" s="166"/>
      <c r="K57" s="166"/>
      <c r="L57" s="166"/>
      <c r="M57" s="166"/>
      <c r="N57" s="166"/>
      <c r="O57" s="166"/>
      <c r="P57" s="166"/>
      <c r="Q57" s="166"/>
    </row>
    <row r="58" spans="1:17">
      <c r="A58" s="166"/>
      <c r="B58" s="166"/>
      <c r="C58" s="166"/>
      <c r="D58" s="166"/>
      <c r="E58" s="166"/>
      <c r="F58" s="166"/>
      <c r="G58" s="166"/>
      <c r="H58" s="166"/>
      <c r="I58" s="166"/>
      <c r="J58" s="166"/>
      <c r="K58" s="166"/>
      <c r="L58" s="166"/>
      <c r="M58" s="166"/>
      <c r="N58" s="166"/>
      <c r="O58" s="166"/>
      <c r="P58" s="166"/>
      <c r="Q58" s="166"/>
    </row>
  </sheetData>
  <mergeCells count="4">
    <mergeCell ref="C2:C3"/>
    <mergeCell ref="C5:C6"/>
    <mergeCell ref="C8:C9"/>
    <mergeCell ref="C11:C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8A3F-B8C2-4050-B89B-FA524D711C8D}">
  <dimension ref="A1:Z45"/>
  <sheetViews>
    <sheetView zoomScale="85" zoomScaleNormal="85" workbookViewId="0">
      <selection activeCell="B88" sqref="B88:K88"/>
    </sheetView>
  </sheetViews>
  <sheetFormatPr defaultRowHeight="12.75"/>
  <sheetData>
    <row r="1" spans="1:26">
      <c r="A1" t="s">
        <v>234</v>
      </c>
      <c r="B1" t="s">
        <v>235</v>
      </c>
      <c r="C1" t="s">
        <v>236</v>
      </c>
      <c r="E1" s="165"/>
      <c r="F1" s="165"/>
      <c r="G1" s="165"/>
      <c r="H1" s="165"/>
      <c r="I1" s="165"/>
      <c r="J1" s="165"/>
      <c r="K1" s="165"/>
      <c r="L1" s="165"/>
      <c r="M1" s="165"/>
      <c r="N1" s="165"/>
      <c r="O1" s="165"/>
      <c r="P1" s="165"/>
      <c r="Q1" s="165"/>
      <c r="R1" s="165"/>
      <c r="S1" s="165"/>
      <c r="T1" s="165"/>
    </row>
    <row r="2" spans="1:26" ht="42" customHeight="1">
      <c r="A2" t="s">
        <v>237</v>
      </c>
      <c r="B2" s="163">
        <v>3.9226968288421631</v>
      </c>
      <c r="C2" s="163">
        <v>1.4</v>
      </c>
      <c r="E2" s="165"/>
      <c r="F2" s="165"/>
      <c r="G2" s="593" t="s">
        <v>16</v>
      </c>
      <c r="H2" s="593"/>
      <c r="I2" s="593"/>
      <c r="J2" s="593"/>
      <c r="K2" s="593"/>
      <c r="L2" s="593"/>
      <c r="M2" s="593"/>
      <c r="N2" s="593"/>
      <c r="O2" s="593"/>
      <c r="P2" s="165"/>
      <c r="Q2" s="165"/>
      <c r="R2" s="165"/>
      <c r="S2" s="165"/>
      <c r="T2" s="165"/>
      <c r="U2" s="165"/>
      <c r="V2" s="165"/>
      <c r="W2" s="165"/>
      <c r="X2" s="165"/>
      <c r="Y2" s="165"/>
      <c r="Z2" s="165"/>
    </row>
    <row r="3" spans="1:26" ht="14.25">
      <c r="A3" t="s">
        <v>238</v>
      </c>
      <c r="B3" s="163">
        <v>2.8430905342102051</v>
      </c>
      <c r="C3" s="163">
        <v>0.5</v>
      </c>
      <c r="E3" s="165"/>
      <c r="F3" s="165"/>
      <c r="G3" s="187" t="s">
        <v>81</v>
      </c>
      <c r="H3" s="165"/>
      <c r="I3" s="165"/>
      <c r="J3" s="165"/>
      <c r="K3" s="165"/>
      <c r="L3" s="165"/>
      <c r="M3" s="165"/>
      <c r="N3" s="165"/>
      <c r="O3" s="165"/>
      <c r="P3" s="165"/>
      <c r="Q3" s="165"/>
      <c r="R3" s="165"/>
      <c r="S3" s="165"/>
      <c r="T3" s="165"/>
      <c r="U3" s="165"/>
      <c r="V3" s="165"/>
      <c r="W3" s="165"/>
      <c r="X3" s="165"/>
      <c r="Y3" s="165"/>
      <c r="Z3" s="165"/>
    </row>
    <row r="4" spans="1:26">
      <c r="A4" t="s">
        <v>239</v>
      </c>
      <c r="B4" s="163">
        <v>2.1053242683410645</v>
      </c>
      <c r="C4" s="163">
        <v>0.3</v>
      </c>
      <c r="E4" s="165"/>
      <c r="F4" s="165"/>
      <c r="G4" s="165"/>
      <c r="H4" s="165"/>
      <c r="I4" s="165"/>
      <c r="J4" s="165"/>
      <c r="K4" s="165"/>
      <c r="L4" s="165"/>
      <c r="M4" s="165"/>
      <c r="N4" s="165"/>
      <c r="O4" s="165"/>
      <c r="P4" s="165"/>
      <c r="Q4" s="165"/>
      <c r="R4" s="165"/>
      <c r="S4" s="165"/>
      <c r="T4" s="165"/>
      <c r="U4" s="165"/>
      <c r="V4" s="165"/>
      <c r="W4" s="165"/>
      <c r="X4" s="165"/>
      <c r="Y4" s="165"/>
      <c r="Z4" s="165"/>
    </row>
    <row r="5" spans="1:26">
      <c r="A5" t="s">
        <v>240</v>
      </c>
      <c r="B5" s="163">
        <v>1.9901053905487061</v>
      </c>
      <c r="C5" s="163">
        <v>0.6</v>
      </c>
      <c r="E5" s="165"/>
      <c r="F5" s="165"/>
      <c r="G5" s="165"/>
      <c r="H5" s="165"/>
      <c r="I5" s="165"/>
      <c r="J5" s="165"/>
      <c r="K5" s="165"/>
      <c r="L5" s="165"/>
      <c r="M5" s="165"/>
      <c r="N5" s="165"/>
      <c r="O5" s="165"/>
      <c r="P5" s="165"/>
      <c r="Q5" s="165"/>
      <c r="R5" s="165"/>
      <c r="S5" s="165"/>
      <c r="T5" s="165"/>
      <c r="U5" s="165"/>
      <c r="V5" s="165"/>
      <c r="W5" s="165"/>
      <c r="X5" s="165"/>
      <c r="Y5" s="165"/>
      <c r="Z5" s="165"/>
    </row>
    <row r="6" spans="1:26">
      <c r="A6" t="s">
        <v>241</v>
      </c>
      <c r="B6" s="163">
        <v>1.8260962963104248</v>
      </c>
      <c r="C6" s="163">
        <v>0.9</v>
      </c>
      <c r="E6" s="165"/>
      <c r="F6" s="165"/>
      <c r="G6" s="165"/>
      <c r="H6" s="165"/>
      <c r="I6" s="165"/>
      <c r="J6" s="165"/>
      <c r="K6" s="165"/>
      <c r="L6" s="165"/>
      <c r="M6" s="165"/>
      <c r="N6" s="165"/>
      <c r="O6" s="165"/>
      <c r="P6" s="165"/>
      <c r="Q6" s="165"/>
      <c r="R6" s="165"/>
      <c r="S6" s="165"/>
      <c r="T6" s="165"/>
      <c r="U6" s="165"/>
      <c r="V6" s="165"/>
      <c r="W6" s="165"/>
      <c r="X6" s="165"/>
      <c r="Y6" s="165"/>
      <c r="Z6" s="165"/>
    </row>
    <row r="7" spans="1:26">
      <c r="A7" t="s">
        <v>126</v>
      </c>
      <c r="B7" s="163">
        <v>1.188162088394165</v>
      </c>
      <c r="C7" s="163">
        <v>1.2</v>
      </c>
      <c r="E7" s="165"/>
      <c r="F7" s="165"/>
      <c r="G7" s="165"/>
      <c r="H7" s="165"/>
      <c r="I7" s="165"/>
      <c r="J7" s="165"/>
      <c r="K7" s="165"/>
      <c r="L7" s="165"/>
      <c r="M7" s="165"/>
      <c r="N7" s="165"/>
      <c r="O7" s="165"/>
      <c r="P7" s="165"/>
      <c r="Q7" s="165"/>
      <c r="R7" s="165"/>
      <c r="S7" s="165"/>
      <c r="T7" s="165"/>
      <c r="U7" s="165"/>
      <c r="V7" s="165"/>
      <c r="W7" s="165"/>
      <c r="X7" s="165"/>
      <c r="Y7" s="165"/>
      <c r="Z7" s="165"/>
    </row>
    <row r="8" spans="1:26">
      <c r="A8" t="s">
        <v>242</v>
      </c>
      <c r="B8" s="163">
        <v>-0.20915094017982483</v>
      </c>
      <c r="C8" s="163">
        <v>0.1</v>
      </c>
      <c r="E8" s="165"/>
      <c r="F8" s="165"/>
      <c r="G8" s="165"/>
      <c r="H8" s="165"/>
      <c r="I8" s="165"/>
      <c r="J8" s="165"/>
      <c r="K8" s="165"/>
      <c r="L8" s="165"/>
      <c r="M8" s="165"/>
      <c r="N8" s="165"/>
      <c r="O8" s="165"/>
      <c r="P8" s="165"/>
      <c r="Q8" s="165"/>
      <c r="R8" s="165"/>
      <c r="S8" s="165"/>
      <c r="T8" s="165"/>
      <c r="U8" s="165"/>
      <c r="V8" s="165"/>
      <c r="W8" s="165"/>
      <c r="X8" s="165"/>
      <c r="Y8" s="165"/>
      <c r="Z8" s="165"/>
    </row>
    <row r="9" spans="1:26">
      <c r="A9" t="s">
        <v>243</v>
      </c>
      <c r="B9" s="163">
        <v>-1.918178915977478</v>
      </c>
      <c r="C9" s="163">
        <v>0.7</v>
      </c>
      <c r="E9" s="165"/>
      <c r="F9" s="165"/>
      <c r="G9" s="165"/>
      <c r="H9" s="165"/>
      <c r="I9" s="165"/>
      <c r="J9" s="165"/>
      <c r="K9" s="165"/>
      <c r="L9" s="165"/>
      <c r="M9" s="165"/>
      <c r="N9" s="165"/>
      <c r="O9" s="165"/>
      <c r="P9" s="165"/>
      <c r="Q9" s="165"/>
      <c r="R9" s="165"/>
      <c r="S9" s="165"/>
      <c r="T9" s="165"/>
      <c r="U9" s="165"/>
      <c r="V9" s="165"/>
      <c r="W9" s="165"/>
      <c r="X9" s="165"/>
      <c r="Y9" s="165"/>
      <c r="Z9" s="165"/>
    </row>
    <row r="10" spans="1:26">
      <c r="B10" s="163"/>
      <c r="C10" s="163"/>
      <c r="E10" s="165"/>
      <c r="F10" s="165"/>
      <c r="G10" s="165"/>
      <c r="H10" s="165"/>
      <c r="I10" s="165"/>
      <c r="J10" s="165"/>
      <c r="K10" s="165"/>
      <c r="L10" s="165"/>
      <c r="M10" s="165"/>
      <c r="N10" s="165"/>
      <c r="O10" s="165"/>
      <c r="P10" s="165"/>
      <c r="Q10" s="165"/>
      <c r="R10" s="165"/>
      <c r="S10" s="165"/>
      <c r="T10" s="165"/>
      <c r="U10" s="165"/>
      <c r="V10" s="165"/>
      <c r="W10" s="165"/>
      <c r="X10" s="165"/>
      <c r="Y10" s="165"/>
      <c r="Z10" s="165"/>
    </row>
    <row r="11" spans="1:26">
      <c r="E11" s="165"/>
      <c r="F11" s="165"/>
      <c r="G11" s="165"/>
      <c r="H11" s="165"/>
      <c r="I11" s="165"/>
      <c r="J11" s="165"/>
      <c r="K11" s="165"/>
      <c r="L11" s="165"/>
      <c r="M11" s="165"/>
      <c r="N11" s="165"/>
      <c r="O11" s="165"/>
      <c r="P11" s="165"/>
      <c r="Q11" s="165"/>
      <c r="R11" s="165"/>
      <c r="S11" s="165"/>
      <c r="T11" s="165"/>
      <c r="U11" s="165"/>
      <c r="V11" s="165"/>
      <c r="W11" s="165"/>
      <c r="X11" s="165"/>
      <c r="Y11" s="165"/>
      <c r="Z11" s="165"/>
    </row>
    <row r="12" spans="1:26">
      <c r="E12" s="165"/>
      <c r="F12" s="165"/>
      <c r="G12" s="165"/>
      <c r="H12" s="165"/>
      <c r="I12" s="165"/>
      <c r="J12" s="165"/>
      <c r="K12" s="165"/>
      <c r="L12" s="165"/>
      <c r="M12" s="165"/>
      <c r="N12" s="165"/>
      <c r="O12" s="165"/>
      <c r="P12" s="165"/>
      <c r="Q12" s="165"/>
      <c r="R12" s="165"/>
      <c r="S12" s="165"/>
      <c r="T12" s="165"/>
      <c r="U12" s="165"/>
      <c r="V12" s="165"/>
      <c r="W12" s="165"/>
      <c r="X12" s="165"/>
      <c r="Y12" s="165"/>
      <c r="Z12" s="165"/>
    </row>
    <row r="13" spans="1:26">
      <c r="E13" s="165"/>
      <c r="F13" s="165"/>
      <c r="G13" s="165"/>
      <c r="H13" s="165"/>
      <c r="I13" s="165"/>
      <c r="J13" s="165"/>
      <c r="K13" s="165"/>
      <c r="L13" s="165"/>
      <c r="M13" s="165"/>
      <c r="N13" s="165"/>
      <c r="O13" s="165"/>
      <c r="P13" s="165"/>
      <c r="Q13" s="165"/>
      <c r="R13" s="165"/>
      <c r="S13" s="165"/>
      <c r="T13" s="165"/>
      <c r="U13" s="165"/>
      <c r="V13" s="165"/>
      <c r="W13" s="165"/>
      <c r="X13" s="165"/>
      <c r="Y13" s="165"/>
      <c r="Z13" s="165"/>
    </row>
    <row r="14" spans="1:26">
      <c r="E14" s="165"/>
      <c r="F14" s="165"/>
      <c r="G14" s="165"/>
      <c r="H14" s="165"/>
      <c r="I14" s="165"/>
      <c r="J14" s="165"/>
      <c r="K14" s="165"/>
      <c r="L14" s="165"/>
      <c r="M14" s="165"/>
      <c r="N14" s="165"/>
      <c r="O14" s="165"/>
      <c r="P14" s="165"/>
      <c r="Q14" s="165"/>
      <c r="R14" s="165"/>
      <c r="S14" s="165"/>
      <c r="T14" s="165"/>
      <c r="U14" s="165"/>
      <c r="V14" s="165"/>
      <c r="W14" s="165"/>
      <c r="X14" s="165"/>
      <c r="Y14" s="165"/>
      <c r="Z14" s="165"/>
    </row>
    <row r="15" spans="1:26">
      <c r="E15" s="165"/>
      <c r="F15" s="165"/>
      <c r="G15" s="165"/>
      <c r="H15" s="165"/>
      <c r="I15" s="165"/>
      <c r="J15" s="165"/>
      <c r="K15" s="165"/>
      <c r="L15" s="165"/>
      <c r="M15" s="165"/>
      <c r="N15" s="165"/>
      <c r="O15" s="165"/>
      <c r="P15" s="165"/>
      <c r="Q15" s="165"/>
      <c r="R15" s="165"/>
      <c r="S15" s="165"/>
      <c r="T15" s="165"/>
      <c r="U15" s="165"/>
      <c r="V15" s="165"/>
      <c r="W15" s="165"/>
      <c r="X15" s="165"/>
      <c r="Y15" s="165"/>
      <c r="Z15" s="165"/>
    </row>
    <row r="16" spans="1:26">
      <c r="E16" s="165"/>
      <c r="F16" s="165"/>
      <c r="G16" s="165"/>
      <c r="H16" s="165"/>
      <c r="I16" s="165"/>
      <c r="J16" s="165"/>
      <c r="K16" s="165"/>
      <c r="L16" s="165"/>
      <c r="M16" s="165"/>
      <c r="N16" s="165"/>
      <c r="O16" s="165"/>
      <c r="P16" s="165"/>
      <c r="Q16" s="165"/>
      <c r="R16" s="165"/>
      <c r="S16" s="165"/>
      <c r="T16" s="165"/>
      <c r="U16" s="165"/>
      <c r="V16" s="165"/>
      <c r="W16" s="165"/>
      <c r="X16" s="165"/>
      <c r="Y16" s="165"/>
      <c r="Z16" s="165"/>
    </row>
    <row r="17" spans="5:26">
      <c r="E17" s="165"/>
      <c r="F17" s="165"/>
      <c r="G17" s="165"/>
      <c r="H17" s="165"/>
      <c r="I17" s="165"/>
      <c r="J17" s="165"/>
      <c r="K17" s="165"/>
      <c r="L17" s="165"/>
      <c r="M17" s="165"/>
      <c r="N17" s="165"/>
      <c r="O17" s="165"/>
      <c r="P17" s="165"/>
      <c r="Q17" s="165"/>
      <c r="R17" s="165"/>
      <c r="S17" s="165"/>
      <c r="T17" s="165"/>
      <c r="U17" s="165"/>
      <c r="V17" s="165"/>
      <c r="W17" s="165"/>
      <c r="X17" s="165"/>
      <c r="Y17" s="165"/>
      <c r="Z17" s="165"/>
    </row>
    <row r="18" spans="5:26">
      <c r="E18" s="165"/>
      <c r="F18" s="165"/>
      <c r="G18" s="165"/>
      <c r="H18" s="165"/>
      <c r="I18" s="165"/>
      <c r="J18" s="165"/>
      <c r="K18" s="165"/>
      <c r="L18" s="165"/>
      <c r="M18" s="165"/>
      <c r="N18" s="165"/>
      <c r="O18" s="165"/>
      <c r="P18" s="165"/>
      <c r="Q18" s="165"/>
      <c r="R18" s="165"/>
      <c r="S18" s="165"/>
      <c r="T18" s="165"/>
      <c r="U18" s="165"/>
      <c r="V18" s="165"/>
      <c r="W18" s="165"/>
      <c r="X18" s="165"/>
      <c r="Y18" s="165"/>
      <c r="Z18" s="165"/>
    </row>
    <row r="19" spans="5:26">
      <c r="E19" s="165"/>
      <c r="F19" s="165"/>
      <c r="G19" s="165"/>
      <c r="H19" s="165"/>
      <c r="I19" s="165"/>
      <c r="J19" s="165"/>
      <c r="K19" s="165"/>
      <c r="L19" s="165"/>
      <c r="M19" s="165"/>
      <c r="N19" s="165"/>
      <c r="O19" s="165"/>
      <c r="P19" s="165"/>
      <c r="Q19" s="165"/>
      <c r="R19" s="165"/>
      <c r="S19" s="165"/>
      <c r="T19" s="165"/>
      <c r="U19" s="165"/>
      <c r="V19" s="165"/>
      <c r="W19" s="165"/>
      <c r="X19" s="165"/>
      <c r="Y19" s="165"/>
      <c r="Z19" s="165"/>
    </row>
    <row r="20" spans="5:26">
      <c r="E20" s="165"/>
      <c r="F20" s="165"/>
      <c r="G20" s="165"/>
      <c r="H20" s="165"/>
      <c r="I20" s="165"/>
      <c r="J20" s="165"/>
      <c r="K20" s="165"/>
      <c r="L20" s="165"/>
      <c r="M20" s="165"/>
      <c r="N20" s="165"/>
      <c r="O20" s="165"/>
      <c r="P20" s="165"/>
      <c r="Q20" s="165"/>
      <c r="R20" s="165"/>
      <c r="S20" s="165"/>
      <c r="T20" s="165"/>
      <c r="U20" s="165"/>
      <c r="V20" s="165"/>
      <c r="W20" s="165"/>
      <c r="X20" s="165"/>
      <c r="Y20" s="165"/>
      <c r="Z20" s="165"/>
    </row>
    <row r="21" spans="5:26">
      <c r="E21" s="165"/>
      <c r="F21" s="165"/>
      <c r="G21" s="165"/>
      <c r="H21" s="165"/>
      <c r="I21" s="165"/>
      <c r="J21" s="165"/>
      <c r="K21" s="165"/>
      <c r="L21" s="165"/>
      <c r="M21" s="165"/>
      <c r="N21" s="165"/>
      <c r="O21" s="165"/>
      <c r="P21" s="165"/>
      <c r="Q21" s="165"/>
      <c r="R21" s="165"/>
      <c r="S21" s="165"/>
      <c r="T21" s="165"/>
      <c r="U21" s="165"/>
      <c r="V21" s="165"/>
      <c r="W21" s="165"/>
      <c r="X21" s="165"/>
      <c r="Y21" s="165"/>
      <c r="Z21" s="165"/>
    </row>
    <row r="22" spans="5:26">
      <c r="E22" s="165"/>
      <c r="F22" s="165"/>
      <c r="G22" s="165"/>
      <c r="H22" s="165"/>
      <c r="I22" s="165"/>
      <c r="J22" s="165"/>
      <c r="K22" s="165"/>
      <c r="L22" s="165"/>
      <c r="M22" s="165"/>
      <c r="N22" s="165"/>
      <c r="O22" s="165"/>
      <c r="P22" s="165"/>
      <c r="Q22" s="165"/>
      <c r="R22" s="165"/>
      <c r="S22" s="165"/>
      <c r="T22" s="165"/>
      <c r="U22" s="165"/>
      <c r="V22" s="165"/>
      <c r="W22" s="165"/>
      <c r="X22" s="165"/>
      <c r="Y22" s="165"/>
      <c r="Z22" s="165"/>
    </row>
    <row r="23" spans="5:26">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5:26">
      <c r="E24" s="165"/>
      <c r="F24" s="165"/>
      <c r="G24" s="165"/>
      <c r="H24" s="165"/>
      <c r="I24" s="165"/>
      <c r="J24" s="165"/>
      <c r="K24" s="165"/>
      <c r="L24" s="165"/>
      <c r="M24" s="165"/>
      <c r="N24" s="165"/>
      <c r="O24" s="165"/>
      <c r="P24" s="165"/>
      <c r="Q24" s="165"/>
      <c r="R24" s="165"/>
      <c r="S24" s="165"/>
      <c r="T24" s="165"/>
      <c r="U24" s="165"/>
      <c r="V24" s="165"/>
      <c r="W24" s="165"/>
      <c r="X24" s="165"/>
      <c r="Y24" s="165"/>
      <c r="Z24" s="165"/>
    </row>
    <row r="25" spans="5:26">
      <c r="E25" s="165"/>
      <c r="F25" s="165"/>
      <c r="G25" s="165"/>
      <c r="H25" s="165"/>
      <c r="I25" s="165"/>
      <c r="J25" s="165"/>
      <c r="K25" s="165"/>
      <c r="L25" s="165"/>
      <c r="M25" s="165"/>
      <c r="N25" s="165"/>
      <c r="O25" s="165"/>
      <c r="P25" s="165"/>
      <c r="Q25" s="165"/>
      <c r="R25" s="165"/>
      <c r="S25" s="165"/>
      <c r="T25" s="165"/>
      <c r="U25" s="165"/>
      <c r="V25" s="165"/>
      <c r="W25" s="165"/>
      <c r="X25" s="165"/>
      <c r="Y25" s="165"/>
      <c r="Z25" s="165"/>
    </row>
    <row r="26" spans="5:26">
      <c r="E26" s="165"/>
      <c r="F26" s="165"/>
      <c r="G26" s="165"/>
      <c r="H26" s="165"/>
      <c r="I26" s="165"/>
      <c r="J26" s="165"/>
      <c r="K26" s="165"/>
      <c r="L26" s="165"/>
      <c r="M26" s="165"/>
      <c r="N26" s="165"/>
      <c r="O26" s="165"/>
      <c r="P26" s="165"/>
      <c r="Q26" s="165"/>
      <c r="R26" s="165"/>
      <c r="S26" s="165"/>
      <c r="T26" s="165"/>
      <c r="U26" s="165"/>
      <c r="V26" s="165"/>
      <c r="W26" s="165"/>
      <c r="X26" s="165"/>
      <c r="Y26" s="165"/>
      <c r="Z26" s="165"/>
    </row>
    <row r="27" spans="5:26">
      <c r="E27" s="165"/>
      <c r="F27" s="165"/>
      <c r="G27" s="165"/>
      <c r="H27" s="165"/>
      <c r="I27" s="165"/>
      <c r="J27" s="165"/>
      <c r="K27" s="165"/>
      <c r="L27" s="165"/>
      <c r="M27" s="165"/>
      <c r="N27" s="165"/>
      <c r="O27" s="165"/>
      <c r="P27" s="165"/>
      <c r="Q27" s="165"/>
      <c r="R27" s="165"/>
      <c r="S27" s="165"/>
      <c r="T27" s="165"/>
      <c r="U27" s="165"/>
      <c r="V27" s="165"/>
      <c r="W27" s="165"/>
      <c r="X27" s="165"/>
      <c r="Y27" s="165"/>
      <c r="Z27" s="165"/>
    </row>
    <row r="28" spans="5:26">
      <c r="E28" s="165"/>
      <c r="F28" s="165"/>
      <c r="G28" s="165"/>
      <c r="H28" s="165"/>
      <c r="I28" s="165"/>
      <c r="J28" s="165"/>
      <c r="K28" s="165"/>
      <c r="L28" s="165"/>
      <c r="M28" s="165"/>
      <c r="N28" s="165"/>
      <c r="O28" s="165"/>
      <c r="P28" s="165"/>
      <c r="Q28" s="165"/>
      <c r="R28" s="165"/>
      <c r="S28" s="165"/>
      <c r="T28" s="165"/>
      <c r="U28" s="165"/>
      <c r="V28" s="165"/>
      <c r="W28" s="165"/>
      <c r="X28" s="165"/>
      <c r="Y28" s="165"/>
      <c r="Z28" s="165"/>
    </row>
    <row r="29" spans="5:26">
      <c r="E29" s="165"/>
      <c r="F29" s="165"/>
      <c r="G29" s="165"/>
      <c r="H29" s="165"/>
      <c r="I29" s="165"/>
      <c r="J29" s="165"/>
      <c r="K29" s="165"/>
      <c r="L29" s="165"/>
      <c r="M29" s="165"/>
      <c r="N29" s="165"/>
      <c r="O29" s="165"/>
      <c r="P29" s="165"/>
      <c r="Q29" s="165"/>
      <c r="R29" s="165"/>
      <c r="S29" s="165"/>
      <c r="T29" s="165"/>
      <c r="U29" s="165"/>
      <c r="V29" s="165"/>
      <c r="W29" s="165"/>
      <c r="X29" s="165"/>
      <c r="Y29" s="165"/>
      <c r="Z29" s="165"/>
    </row>
    <row r="30" spans="5:26">
      <c r="E30" s="165"/>
      <c r="F30" s="165"/>
      <c r="G30" s="165"/>
      <c r="H30" s="165"/>
      <c r="I30" s="165"/>
      <c r="J30" s="165"/>
      <c r="K30" s="165"/>
      <c r="L30" s="165"/>
      <c r="M30" s="165"/>
      <c r="N30" s="165"/>
      <c r="O30" s="165"/>
      <c r="P30" s="165"/>
      <c r="Q30" s="165"/>
      <c r="R30" s="165"/>
      <c r="S30" s="165"/>
      <c r="T30" s="165"/>
      <c r="U30" s="165"/>
      <c r="V30" s="165"/>
      <c r="W30" s="165"/>
      <c r="X30" s="165"/>
      <c r="Y30" s="165"/>
      <c r="Z30" s="165"/>
    </row>
    <row r="31" spans="5:26">
      <c r="E31" s="165"/>
      <c r="F31" s="165"/>
      <c r="G31" s="165"/>
      <c r="H31" s="165"/>
      <c r="I31" s="165"/>
      <c r="J31" s="165"/>
      <c r="K31" s="165"/>
      <c r="L31" s="165"/>
      <c r="M31" s="165"/>
      <c r="N31" s="165"/>
      <c r="O31" s="165"/>
      <c r="P31" s="165"/>
      <c r="Q31" s="165"/>
      <c r="R31" s="165"/>
      <c r="S31" s="165"/>
      <c r="T31" s="165"/>
      <c r="U31" s="165"/>
      <c r="V31" s="165"/>
      <c r="W31" s="165"/>
      <c r="X31" s="165"/>
      <c r="Y31" s="165"/>
      <c r="Z31" s="165"/>
    </row>
    <row r="32" spans="5:26">
      <c r="E32" s="165"/>
      <c r="F32" s="165"/>
      <c r="G32" s="165"/>
      <c r="H32" s="165"/>
      <c r="I32" s="165"/>
      <c r="J32" s="165"/>
      <c r="K32" s="165"/>
      <c r="L32" s="165"/>
      <c r="M32" s="165"/>
      <c r="N32" s="165"/>
      <c r="O32" s="165"/>
      <c r="P32" s="165"/>
      <c r="Q32" s="165"/>
      <c r="R32" s="165"/>
      <c r="S32" s="165"/>
      <c r="T32" s="165"/>
      <c r="U32" s="165"/>
      <c r="V32" s="165"/>
      <c r="W32" s="165"/>
      <c r="X32" s="165"/>
      <c r="Y32" s="165"/>
      <c r="Z32" s="165"/>
    </row>
    <row r="33" spans="5:26">
      <c r="E33" s="165"/>
      <c r="F33" s="165"/>
      <c r="G33" s="165"/>
      <c r="H33" s="165"/>
      <c r="I33" s="165"/>
      <c r="J33" s="165"/>
      <c r="K33" s="165"/>
      <c r="L33" s="165"/>
      <c r="M33" s="165"/>
      <c r="N33" s="165"/>
      <c r="O33" s="165"/>
      <c r="P33" s="165"/>
      <c r="Q33" s="165"/>
      <c r="R33" s="165"/>
      <c r="S33" s="165"/>
      <c r="T33" s="165"/>
      <c r="U33" s="165"/>
      <c r="V33" s="165"/>
      <c r="W33" s="165"/>
      <c r="X33" s="165"/>
      <c r="Y33" s="165"/>
      <c r="Z33" s="165"/>
    </row>
    <row r="34" spans="5:26">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5:26">
      <c r="E35" s="165"/>
      <c r="F35" s="165"/>
      <c r="G35" s="165"/>
      <c r="H35" s="165"/>
      <c r="I35" s="165"/>
      <c r="J35" s="165"/>
      <c r="K35" s="165"/>
      <c r="L35" s="165"/>
      <c r="M35" s="165"/>
      <c r="N35" s="165"/>
      <c r="O35" s="165"/>
      <c r="P35" s="165"/>
      <c r="Q35" s="165"/>
      <c r="R35" s="165"/>
      <c r="S35" s="165"/>
      <c r="T35" s="165"/>
      <c r="U35" s="165"/>
      <c r="V35" s="165"/>
      <c r="W35" s="165"/>
      <c r="X35" s="165"/>
      <c r="Y35" s="165"/>
      <c r="Z35" s="165"/>
    </row>
    <row r="36" spans="5:26">
      <c r="E36" s="165"/>
      <c r="F36" s="165"/>
      <c r="G36" s="165"/>
      <c r="H36" s="165"/>
      <c r="I36" s="165"/>
      <c r="J36" s="165"/>
      <c r="K36" s="165"/>
      <c r="L36" s="165"/>
      <c r="M36" s="165"/>
      <c r="N36" s="165"/>
      <c r="O36" s="165"/>
      <c r="P36" s="165"/>
      <c r="Q36" s="165"/>
      <c r="R36" s="165"/>
      <c r="S36" s="165"/>
      <c r="T36" s="165"/>
      <c r="U36" s="165"/>
      <c r="V36" s="165"/>
      <c r="W36" s="165"/>
      <c r="X36" s="165"/>
      <c r="Y36" s="165"/>
      <c r="Z36" s="165"/>
    </row>
    <row r="37" spans="5:26">
      <c r="E37" s="165"/>
      <c r="F37" s="165"/>
      <c r="G37" s="165"/>
      <c r="H37" s="165"/>
      <c r="I37" s="165"/>
      <c r="J37" s="165"/>
      <c r="K37" s="165"/>
      <c r="L37" s="165"/>
      <c r="M37" s="165"/>
      <c r="N37" s="165"/>
      <c r="O37" s="165"/>
      <c r="P37" s="165"/>
      <c r="Q37" s="165"/>
      <c r="R37" s="165"/>
      <c r="S37" s="165"/>
      <c r="T37" s="165"/>
      <c r="U37" s="165"/>
      <c r="V37" s="165"/>
      <c r="W37" s="165"/>
      <c r="X37" s="165"/>
      <c r="Y37" s="165"/>
      <c r="Z37" s="165"/>
    </row>
    <row r="38" spans="5:26">
      <c r="E38" s="165"/>
      <c r="F38" s="165"/>
      <c r="G38" s="165"/>
      <c r="H38" s="165"/>
      <c r="I38" s="165"/>
      <c r="J38" s="165"/>
      <c r="K38" s="165"/>
      <c r="L38" s="165"/>
      <c r="M38" s="165"/>
      <c r="N38" s="165"/>
      <c r="O38" s="165"/>
      <c r="P38" s="165"/>
      <c r="Q38" s="165"/>
      <c r="R38" s="165"/>
      <c r="S38" s="165"/>
      <c r="T38" s="165"/>
      <c r="U38" s="165"/>
      <c r="V38" s="165"/>
      <c r="W38" s="165"/>
      <c r="X38" s="165"/>
      <c r="Y38" s="165"/>
      <c r="Z38" s="165"/>
    </row>
    <row r="39" spans="5:26">
      <c r="E39" s="165"/>
      <c r="F39" s="165"/>
      <c r="G39" s="165"/>
      <c r="H39" s="165"/>
      <c r="I39" s="165"/>
      <c r="J39" s="165"/>
      <c r="K39" s="165"/>
      <c r="L39" s="165"/>
      <c r="M39" s="165"/>
      <c r="N39" s="165"/>
      <c r="O39" s="165"/>
      <c r="P39" s="165"/>
      <c r="Q39" s="165"/>
      <c r="R39" s="165"/>
      <c r="S39" s="165"/>
      <c r="T39" s="165"/>
      <c r="U39" s="165"/>
      <c r="V39" s="165"/>
      <c r="W39" s="165"/>
      <c r="X39" s="165"/>
      <c r="Y39" s="165"/>
      <c r="Z39" s="165"/>
    </row>
    <row r="40" spans="5:26">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5:26">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5:26">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5:26">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5:26">
      <c r="E44" s="165"/>
      <c r="F44" s="165"/>
      <c r="G44" s="165"/>
      <c r="H44" s="165"/>
      <c r="I44" s="165"/>
      <c r="J44" s="165"/>
      <c r="K44" s="165"/>
      <c r="L44" s="165"/>
      <c r="M44" s="165"/>
      <c r="N44" s="165"/>
      <c r="O44" s="165"/>
      <c r="P44" s="165"/>
      <c r="Q44" s="165"/>
      <c r="R44" s="165"/>
      <c r="S44" s="165"/>
      <c r="T44" s="165"/>
      <c r="U44" s="165"/>
      <c r="V44" s="165"/>
      <c r="W44" s="165"/>
      <c r="X44" s="165"/>
      <c r="Y44" s="165"/>
      <c r="Z44" s="165"/>
    </row>
    <row r="45" spans="5:26">
      <c r="E45" s="165"/>
      <c r="F45" s="165"/>
      <c r="G45" s="165"/>
      <c r="H45" s="165"/>
      <c r="I45" s="165"/>
      <c r="J45" s="165"/>
      <c r="K45" s="165"/>
      <c r="L45" s="165"/>
      <c r="M45" s="165"/>
      <c r="N45" s="165"/>
      <c r="O45" s="165"/>
      <c r="P45" s="165"/>
      <c r="Q45" s="165"/>
      <c r="R45" s="165"/>
      <c r="S45" s="165"/>
      <c r="T45" s="165"/>
      <c r="U45" s="165"/>
      <c r="V45" s="165"/>
      <c r="W45" s="165"/>
      <c r="X45" s="165"/>
      <c r="Y45" s="165"/>
      <c r="Z45" s="165"/>
    </row>
  </sheetData>
  <mergeCells count="1">
    <mergeCell ref="G2:O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88236-B01B-4E1B-B73B-825B81C6EA3D}">
  <dimension ref="A1:P139"/>
  <sheetViews>
    <sheetView topLeftCell="D16" workbookViewId="0">
      <selection activeCell="B88" sqref="B88:K88"/>
    </sheetView>
  </sheetViews>
  <sheetFormatPr defaultRowHeight="15"/>
  <cols>
    <col min="1" max="1" width="9.140625" style="188"/>
    <col min="2" max="4" width="9.140625" style="189"/>
    <col min="5" max="5" width="17.5703125" style="189" bestFit="1" customWidth="1"/>
    <col min="6" max="16384" width="9.140625" style="189"/>
  </cols>
  <sheetData>
    <row r="1" spans="1:4">
      <c r="A1" s="188" t="s">
        <v>244</v>
      </c>
      <c r="B1" s="189" t="s">
        <v>245</v>
      </c>
      <c r="C1" s="189" t="s">
        <v>246</v>
      </c>
      <c r="D1" s="189" t="s">
        <v>245</v>
      </c>
    </row>
    <row r="2" spans="1:4">
      <c r="A2" s="188">
        <v>25.159341440412845</v>
      </c>
      <c r="B2" s="190">
        <v>1980</v>
      </c>
      <c r="C2" s="189" t="s">
        <v>247</v>
      </c>
      <c r="D2" s="190">
        <v>1980</v>
      </c>
    </row>
    <row r="3" spans="1:4">
      <c r="A3" s="188">
        <v>25.531471613670643</v>
      </c>
      <c r="B3" s="190" t="str">
        <f>RIGHT(D3,2)</f>
        <v>81</v>
      </c>
      <c r="C3" s="189" t="s">
        <v>247</v>
      </c>
      <c r="D3" s="190">
        <v>1981</v>
      </c>
    </row>
    <row r="4" spans="1:4">
      <c r="A4" s="188">
        <v>25.719132404655429</v>
      </c>
      <c r="B4" s="190" t="str">
        <f t="shared" ref="B4:B21" si="0">RIGHT(D4,2)</f>
        <v>82</v>
      </c>
      <c r="C4" s="189" t="s">
        <v>247</v>
      </c>
      <c r="D4" s="190">
        <v>1982</v>
      </c>
    </row>
    <row r="5" spans="1:4">
      <c r="A5" s="188">
        <v>25.431720227897177</v>
      </c>
      <c r="B5" s="190" t="str">
        <f t="shared" si="0"/>
        <v>83</v>
      </c>
      <c r="C5" s="189" t="s">
        <v>247</v>
      </c>
      <c r="D5" s="190">
        <v>1983</v>
      </c>
    </row>
    <row r="6" spans="1:4">
      <c r="A6" s="188">
        <v>25.396739580831181</v>
      </c>
      <c r="B6" s="190" t="str">
        <f t="shared" si="0"/>
        <v>84</v>
      </c>
      <c r="C6" s="189" t="s">
        <v>247</v>
      </c>
      <c r="D6" s="190">
        <v>1984</v>
      </c>
    </row>
    <row r="7" spans="1:4">
      <c r="A7" s="188">
        <v>25.280886013517105</v>
      </c>
      <c r="B7" s="190" t="str">
        <f t="shared" si="0"/>
        <v>85</v>
      </c>
      <c r="C7" s="189" t="s">
        <v>247</v>
      </c>
      <c r="D7" s="190">
        <v>1985</v>
      </c>
    </row>
    <row r="8" spans="1:4">
      <c r="A8" s="188">
        <v>25.456959894520061</v>
      </c>
      <c r="B8" s="190" t="str">
        <f t="shared" si="0"/>
        <v>86</v>
      </c>
      <c r="C8" s="189" t="s">
        <v>247</v>
      </c>
      <c r="D8" s="190">
        <v>1986</v>
      </c>
    </row>
    <row r="9" spans="1:4">
      <c r="A9" s="188">
        <v>25.257415927800324</v>
      </c>
      <c r="B9" s="190" t="str">
        <f t="shared" si="0"/>
        <v>87</v>
      </c>
      <c r="C9" s="189" t="s">
        <v>247</v>
      </c>
      <c r="D9" s="190">
        <v>1987</v>
      </c>
    </row>
    <row r="10" spans="1:4">
      <c r="A10" s="188">
        <v>24.754034394023488</v>
      </c>
      <c r="B10" s="190" t="str">
        <f t="shared" si="0"/>
        <v>88</v>
      </c>
      <c r="C10" s="189" t="s">
        <v>247</v>
      </c>
      <c r="D10" s="190">
        <v>1988</v>
      </c>
    </row>
    <row r="11" spans="1:4">
      <c r="A11" s="188">
        <v>24.505442851925157</v>
      </c>
      <c r="B11" s="190" t="str">
        <f t="shared" si="0"/>
        <v>89</v>
      </c>
      <c r="C11" s="189" t="s">
        <v>247</v>
      </c>
      <c r="D11" s="190">
        <v>1989</v>
      </c>
    </row>
    <row r="12" spans="1:4">
      <c r="A12" s="188">
        <v>22.756948348436122</v>
      </c>
      <c r="B12" s="190" t="str">
        <f t="shared" si="0"/>
        <v>90</v>
      </c>
      <c r="C12" s="189" t="s">
        <v>247</v>
      </c>
      <c r="D12" s="190">
        <v>1990</v>
      </c>
    </row>
    <row r="13" spans="1:4">
      <c r="A13" s="188">
        <v>25.201101762022866</v>
      </c>
      <c r="B13" s="190" t="str">
        <f t="shared" si="0"/>
        <v>91</v>
      </c>
      <c r="C13" s="189" t="s">
        <v>247</v>
      </c>
      <c r="D13" s="190">
        <v>1991</v>
      </c>
    </row>
    <row r="14" spans="1:4">
      <c r="A14" s="188">
        <v>25.640832087766171</v>
      </c>
      <c r="B14" s="190" t="str">
        <f t="shared" si="0"/>
        <v>92</v>
      </c>
      <c r="C14" s="189" t="s">
        <v>247</v>
      </c>
      <c r="D14" s="190">
        <v>1992</v>
      </c>
    </row>
    <row r="15" spans="1:4">
      <c r="A15" s="188">
        <v>25.712228669326908</v>
      </c>
      <c r="B15" s="190" t="str">
        <f t="shared" si="0"/>
        <v>93</v>
      </c>
      <c r="C15" s="189" t="s">
        <v>247</v>
      </c>
      <c r="D15" s="190">
        <v>1993</v>
      </c>
    </row>
    <row r="16" spans="1:4">
      <c r="A16" s="188">
        <v>25.611174036294692</v>
      </c>
      <c r="B16" s="190" t="str">
        <f t="shared" si="0"/>
        <v>94</v>
      </c>
      <c r="C16" s="189" t="s">
        <v>247</v>
      </c>
      <c r="D16" s="190">
        <v>1994</v>
      </c>
    </row>
    <row r="17" spans="1:16">
      <c r="A17" s="188">
        <v>24.691115547207957</v>
      </c>
      <c r="B17" s="190" t="str">
        <f t="shared" si="0"/>
        <v>95</v>
      </c>
      <c r="C17" s="189" t="s">
        <v>247</v>
      </c>
      <c r="D17" s="190">
        <v>1995</v>
      </c>
      <c r="F17" s="191"/>
      <c r="G17" s="191"/>
      <c r="H17" s="191"/>
      <c r="I17" s="191"/>
      <c r="J17" s="191"/>
      <c r="K17" s="191"/>
      <c r="L17" s="191"/>
      <c r="M17" s="191"/>
      <c r="N17" s="191"/>
      <c r="O17" s="191"/>
      <c r="P17" s="191"/>
    </row>
    <row r="18" spans="1:16" ht="15.75">
      <c r="A18" s="188">
        <v>25.129013146487306</v>
      </c>
      <c r="B18" s="190" t="str">
        <f t="shared" si="0"/>
        <v>96</v>
      </c>
      <c r="C18" s="189" t="s">
        <v>247</v>
      </c>
      <c r="D18" s="190">
        <v>1996</v>
      </c>
      <c r="F18" s="191"/>
      <c r="G18" s="192" t="s">
        <v>248</v>
      </c>
      <c r="H18" s="191"/>
      <c r="I18" s="191"/>
      <c r="J18" s="191"/>
      <c r="K18" s="191"/>
      <c r="L18" s="191"/>
      <c r="M18" s="191"/>
      <c r="N18" s="191"/>
      <c r="O18" s="191"/>
      <c r="P18" s="191"/>
    </row>
    <row r="19" spans="1:16">
      <c r="A19" s="188">
        <v>25.210240425420182</v>
      </c>
      <c r="B19" s="190" t="str">
        <f t="shared" si="0"/>
        <v>97</v>
      </c>
      <c r="C19" s="189" t="s">
        <v>247</v>
      </c>
      <c r="D19" s="190">
        <v>1997</v>
      </c>
      <c r="F19" s="191"/>
      <c r="G19" s="193" t="s">
        <v>81</v>
      </c>
      <c r="H19" s="191"/>
      <c r="I19" s="191"/>
      <c r="J19" s="191"/>
      <c r="K19" s="191"/>
      <c r="L19" s="191"/>
      <c r="M19" s="191"/>
      <c r="N19" s="191"/>
      <c r="O19" s="191"/>
      <c r="P19" s="191"/>
    </row>
    <row r="20" spans="1:16">
      <c r="A20" s="188">
        <v>26.064675923294615</v>
      </c>
      <c r="B20" s="190" t="str">
        <f t="shared" si="0"/>
        <v>98</v>
      </c>
      <c r="C20" s="189" t="s">
        <v>247</v>
      </c>
      <c r="D20" s="190">
        <v>1998</v>
      </c>
      <c r="F20" s="191"/>
      <c r="G20" s="191"/>
      <c r="H20" s="191"/>
      <c r="I20" s="191"/>
      <c r="J20" s="191"/>
      <c r="K20" s="191"/>
      <c r="L20" s="191"/>
      <c r="M20" s="191"/>
      <c r="N20" s="191"/>
      <c r="O20" s="191"/>
      <c r="P20" s="191"/>
    </row>
    <row r="21" spans="1:16">
      <c r="A21" s="188">
        <v>26.327742293467484</v>
      </c>
      <c r="B21" s="190" t="str">
        <f t="shared" si="0"/>
        <v>99</v>
      </c>
      <c r="C21" s="189" t="s">
        <v>247</v>
      </c>
      <c r="D21" s="190">
        <v>1999</v>
      </c>
      <c r="F21" s="191"/>
      <c r="G21" s="191"/>
      <c r="H21" s="191"/>
      <c r="I21" s="191"/>
      <c r="J21" s="191"/>
      <c r="K21" s="191"/>
      <c r="L21" s="191"/>
      <c r="M21" s="191"/>
      <c r="N21" s="191"/>
      <c r="O21" s="191"/>
      <c r="P21" s="191"/>
    </row>
    <row r="22" spans="1:16">
      <c r="A22" s="188">
        <v>26.222364958052733</v>
      </c>
      <c r="B22" s="190">
        <v>2000</v>
      </c>
      <c r="C22" s="189" t="s">
        <v>247</v>
      </c>
      <c r="D22" s="190">
        <v>2000</v>
      </c>
      <c r="F22" s="191"/>
      <c r="G22" s="191"/>
      <c r="H22" s="191"/>
      <c r="I22" s="191"/>
      <c r="J22" s="191"/>
      <c r="K22" s="191"/>
      <c r="L22" s="191"/>
      <c r="M22" s="191"/>
      <c r="N22" s="191"/>
      <c r="O22" s="191"/>
      <c r="P22" s="191"/>
    </row>
    <row r="23" spans="1:16">
      <c r="A23" s="188">
        <v>25.356454441656229</v>
      </c>
      <c r="B23" s="190" t="str">
        <f>RIGHT(D23,2)</f>
        <v>01</v>
      </c>
      <c r="C23" s="189" t="s">
        <v>247</v>
      </c>
      <c r="D23" s="190">
        <v>2001</v>
      </c>
      <c r="F23" s="191"/>
      <c r="G23" s="191"/>
      <c r="H23" s="191"/>
      <c r="I23" s="191"/>
      <c r="J23" s="191"/>
      <c r="K23" s="191"/>
      <c r="L23" s="191"/>
      <c r="M23" s="191"/>
      <c r="N23" s="191"/>
      <c r="O23" s="191"/>
      <c r="P23" s="191"/>
    </row>
    <row r="24" spans="1:16">
      <c r="A24" s="188">
        <v>25.118287187408921</v>
      </c>
      <c r="B24" s="190" t="str">
        <f t="shared" ref="B24:B47" si="1">RIGHT(D24,2)</f>
        <v>02</v>
      </c>
      <c r="C24" s="189" t="s">
        <v>247</v>
      </c>
      <c r="D24" s="190">
        <v>2002</v>
      </c>
      <c r="F24" s="191"/>
      <c r="G24" s="191"/>
      <c r="H24" s="191"/>
      <c r="I24" s="191"/>
      <c r="J24" s="191"/>
      <c r="K24" s="191"/>
      <c r="L24" s="191"/>
      <c r="M24" s="191"/>
      <c r="N24" s="191"/>
      <c r="O24" s="191"/>
      <c r="P24" s="191"/>
    </row>
    <row r="25" spans="1:16">
      <c r="A25" s="188">
        <v>25.065494355421514</v>
      </c>
      <c r="B25" s="190" t="str">
        <f t="shared" si="1"/>
        <v>03</v>
      </c>
      <c r="C25" s="189" t="s">
        <v>247</v>
      </c>
      <c r="D25" s="190">
        <v>2003</v>
      </c>
      <c r="F25" s="191"/>
      <c r="G25" s="191"/>
      <c r="H25" s="191"/>
      <c r="I25" s="191"/>
      <c r="J25" s="191"/>
      <c r="K25" s="191"/>
      <c r="L25" s="191"/>
      <c r="M25" s="191"/>
      <c r="N25" s="191"/>
      <c r="O25" s="191"/>
      <c r="P25" s="191"/>
    </row>
    <row r="26" spans="1:16">
      <c r="A26" s="188">
        <v>25.328464663866239</v>
      </c>
      <c r="B26" s="190" t="str">
        <f t="shared" si="1"/>
        <v>04</v>
      </c>
      <c r="C26" s="189" t="s">
        <v>247</v>
      </c>
      <c r="D26" s="190">
        <v>2004</v>
      </c>
      <c r="F26" s="191"/>
      <c r="G26" s="191"/>
      <c r="H26" s="191"/>
      <c r="I26" s="191"/>
      <c r="J26" s="191"/>
      <c r="K26" s="191"/>
      <c r="L26" s="191"/>
      <c r="M26" s="191"/>
      <c r="N26" s="191"/>
      <c r="O26" s="191"/>
      <c r="P26" s="191"/>
    </row>
    <row r="27" spans="1:16">
      <c r="A27" s="188">
        <v>25.907640740795756</v>
      </c>
      <c r="B27" s="190" t="str">
        <f t="shared" si="1"/>
        <v>05</v>
      </c>
      <c r="C27" s="189" t="s">
        <v>247</v>
      </c>
      <c r="D27" s="190">
        <v>2005</v>
      </c>
      <c r="F27" s="191"/>
      <c r="G27" s="191"/>
      <c r="H27" s="191"/>
      <c r="I27" s="191"/>
      <c r="J27" s="191"/>
      <c r="K27" s="191"/>
      <c r="L27" s="191"/>
      <c r="M27" s="191"/>
      <c r="N27" s="191"/>
      <c r="O27" s="191"/>
      <c r="P27" s="191"/>
    </row>
    <row r="28" spans="1:16">
      <c r="A28" s="188">
        <v>26.078329682099479</v>
      </c>
      <c r="B28" s="190" t="str">
        <f t="shared" si="1"/>
        <v>06</v>
      </c>
      <c r="C28" s="189" t="s">
        <v>247</v>
      </c>
      <c r="D28" s="190">
        <v>2006</v>
      </c>
      <c r="F28" s="191"/>
      <c r="G28" s="191"/>
      <c r="H28" s="191"/>
      <c r="I28" s="191"/>
      <c r="J28" s="191"/>
      <c r="K28" s="191"/>
      <c r="L28" s="191"/>
      <c r="M28" s="191"/>
      <c r="N28" s="191"/>
      <c r="O28" s="191"/>
      <c r="P28" s="191"/>
    </row>
    <row r="29" spans="1:16">
      <c r="A29" s="188">
        <v>26.356264682835057</v>
      </c>
      <c r="B29" s="190" t="str">
        <f t="shared" si="1"/>
        <v>07</v>
      </c>
      <c r="C29" s="189" t="s">
        <v>247</v>
      </c>
      <c r="D29" s="190">
        <v>2007</v>
      </c>
      <c r="F29" s="191"/>
      <c r="G29" s="191"/>
      <c r="H29" s="191"/>
      <c r="I29" s="191"/>
      <c r="J29" s="191"/>
      <c r="K29" s="191"/>
      <c r="L29" s="191"/>
      <c r="M29" s="191"/>
      <c r="N29" s="191"/>
      <c r="O29" s="191"/>
      <c r="P29" s="191"/>
    </row>
    <row r="30" spans="1:16">
      <c r="A30" s="188">
        <v>25.671829221003623</v>
      </c>
      <c r="B30" s="190" t="str">
        <f t="shared" si="1"/>
        <v>08</v>
      </c>
      <c r="C30" s="189" t="s">
        <v>247</v>
      </c>
      <c r="D30" s="190">
        <v>2008</v>
      </c>
      <c r="F30" s="191"/>
      <c r="G30" s="191"/>
      <c r="H30" s="191"/>
      <c r="I30" s="191"/>
      <c r="J30" s="191"/>
      <c r="K30" s="191"/>
      <c r="L30" s="191"/>
      <c r="M30" s="191"/>
      <c r="N30" s="191"/>
      <c r="O30" s="191"/>
      <c r="P30" s="191"/>
    </row>
    <row r="31" spans="1:16">
      <c r="A31" s="188">
        <v>24.738905350500623</v>
      </c>
      <c r="B31" s="190" t="str">
        <f t="shared" si="1"/>
        <v>09</v>
      </c>
      <c r="C31" s="189" t="s">
        <v>247</v>
      </c>
      <c r="D31" s="190">
        <v>2009</v>
      </c>
      <c r="F31" s="191"/>
      <c r="G31" s="191"/>
      <c r="H31" s="191"/>
      <c r="I31" s="191"/>
      <c r="J31" s="191"/>
      <c r="K31" s="191"/>
      <c r="L31" s="191"/>
      <c r="M31" s="191"/>
      <c r="N31" s="191"/>
      <c r="O31" s="191"/>
      <c r="P31" s="191"/>
    </row>
    <row r="32" spans="1:16">
      <c r="A32" s="188">
        <v>24.799860968884143</v>
      </c>
      <c r="B32" s="190" t="str">
        <f t="shared" si="1"/>
        <v>10</v>
      </c>
      <c r="C32" s="189" t="s">
        <v>247</v>
      </c>
      <c r="D32" s="190">
        <v>2010</v>
      </c>
      <c r="F32" s="191"/>
      <c r="G32" s="191"/>
      <c r="H32" s="191"/>
      <c r="I32" s="191"/>
      <c r="J32" s="191"/>
      <c r="K32" s="191"/>
      <c r="L32" s="191"/>
      <c r="M32" s="191"/>
      <c r="N32" s="191"/>
      <c r="O32" s="191"/>
      <c r="P32" s="191"/>
    </row>
    <row r="33" spans="1:16">
      <c r="A33" s="188">
        <v>25.274436803039844</v>
      </c>
      <c r="B33" s="190" t="str">
        <f t="shared" si="1"/>
        <v>11</v>
      </c>
      <c r="C33" s="189" t="s">
        <v>247</v>
      </c>
      <c r="D33" s="190">
        <v>2011</v>
      </c>
      <c r="F33" s="191"/>
      <c r="G33" s="191"/>
      <c r="H33" s="191"/>
      <c r="I33" s="191"/>
      <c r="J33" s="191"/>
      <c r="K33" s="191"/>
      <c r="L33" s="191"/>
      <c r="M33" s="191"/>
      <c r="N33" s="191"/>
      <c r="O33" s="191"/>
      <c r="P33" s="191"/>
    </row>
    <row r="34" spans="1:16">
      <c r="A34" s="188">
        <v>25.620174404852545</v>
      </c>
      <c r="B34" s="190" t="str">
        <f t="shared" si="1"/>
        <v>12</v>
      </c>
      <c r="C34" s="189" t="s">
        <v>247</v>
      </c>
      <c r="D34" s="190">
        <v>2012</v>
      </c>
      <c r="F34" s="191"/>
      <c r="G34" s="191"/>
      <c r="H34" s="191"/>
      <c r="I34" s="191"/>
      <c r="J34" s="191"/>
      <c r="K34" s="191"/>
      <c r="L34" s="191"/>
      <c r="M34" s="191"/>
      <c r="N34" s="191"/>
      <c r="O34" s="191"/>
      <c r="P34" s="191"/>
    </row>
    <row r="35" spans="1:16">
      <c r="A35" s="188">
        <v>25.952173127542505</v>
      </c>
      <c r="B35" s="190" t="str">
        <f t="shared" si="1"/>
        <v>13</v>
      </c>
      <c r="C35" s="189" t="s">
        <v>247</v>
      </c>
      <c r="D35" s="190">
        <v>2013</v>
      </c>
      <c r="F35" s="191"/>
      <c r="G35" s="191"/>
      <c r="H35" s="191"/>
      <c r="I35" s="191"/>
      <c r="J35" s="191"/>
      <c r="K35" s="191"/>
      <c r="L35" s="191"/>
      <c r="M35" s="191"/>
      <c r="N35" s="191"/>
      <c r="O35" s="191"/>
      <c r="P35" s="191"/>
    </row>
    <row r="36" spans="1:16">
      <c r="A36" s="188">
        <v>26.1933363215032</v>
      </c>
      <c r="B36" s="190" t="str">
        <f t="shared" si="1"/>
        <v>14</v>
      </c>
      <c r="C36" s="189" t="s">
        <v>247</v>
      </c>
      <c r="D36" s="190">
        <v>2014</v>
      </c>
      <c r="F36" s="191"/>
      <c r="G36" s="191"/>
      <c r="H36" s="191"/>
      <c r="I36" s="191"/>
      <c r="J36" s="191"/>
      <c r="K36" s="191"/>
      <c r="L36" s="191"/>
      <c r="M36" s="191"/>
      <c r="N36" s="191"/>
      <c r="O36" s="191"/>
      <c r="P36" s="191"/>
    </row>
    <row r="37" spans="1:16">
      <c r="A37" s="188">
        <v>25.790414987881547</v>
      </c>
      <c r="B37" s="190" t="str">
        <f t="shared" si="1"/>
        <v>15</v>
      </c>
      <c r="C37" s="189" t="s">
        <v>247</v>
      </c>
      <c r="D37" s="190">
        <v>2015</v>
      </c>
      <c r="F37" s="191"/>
      <c r="G37" s="191"/>
      <c r="H37" s="191"/>
      <c r="I37" s="191"/>
      <c r="J37" s="191"/>
      <c r="K37" s="191"/>
      <c r="L37" s="191"/>
      <c r="M37" s="191"/>
      <c r="N37" s="191"/>
      <c r="O37" s="191"/>
      <c r="P37" s="191"/>
    </row>
    <row r="38" spans="1:16">
      <c r="A38" s="188">
        <v>26.357521280738172</v>
      </c>
      <c r="B38" s="190" t="str">
        <f t="shared" si="1"/>
        <v>16</v>
      </c>
      <c r="C38" s="189" t="s">
        <v>247</v>
      </c>
      <c r="D38" s="190">
        <v>2016</v>
      </c>
      <c r="F38" s="191"/>
      <c r="G38" s="191"/>
      <c r="H38" s="191"/>
      <c r="I38" s="191"/>
      <c r="J38" s="191"/>
      <c r="K38" s="191"/>
      <c r="L38" s="191"/>
      <c r="M38" s="191"/>
      <c r="N38" s="191"/>
      <c r="O38" s="191"/>
      <c r="P38" s="191"/>
    </row>
    <row r="39" spans="1:16">
      <c r="A39" s="188">
        <v>26.176591822709462</v>
      </c>
      <c r="B39" s="190" t="str">
        <f t="shared" si="1"/>
        <v>17</v>
      </c>
      <c r="C39" s="189" t="s">
        <v>247</v>
      </c>
      <c r="D39" s="190">
        <v>2017</v>
      </c>
      <c r="F39" s="191"/>
      <c r="G39" s="191"/>
      <c r="H39" s="191"/>
      <c r="I39" s="191"/>
      <c r="J39" s="191"/>
      <c r="K39" s="191"/>
      <c r="L39" s="191"/>
      <c r="M39" s="191"/>
      <c r="N39" s="191"/>
      <c r="O39" s="191"/>
      <c r="P39" s="191"/>
    </row>
    <row r="40" spans="1:16">
      <c r="A40" s="188">
        <v>26.259019406949275</v>
      </c>
      <c r="B40" s="190" t="str">
        <f t="shared" si="1"/>
        <v>18</v>
      </c>
      <c r="C40" s="189" t="s">
        <v>247</v>
      </c>
      <c r="D40" s="190">
        <v>2018</v>
      </c>
      <c r="F40" s="191"/>
      <c r="G40" s="191"/>
      <c r="H40" s="191"/>
      <c r="I40" s="191"/>
      <c r="J40" s="191"/>
      <c r="K40" s="191"/>
      <c r="L40" s="191"/>
      <c r="M40" s="191"/>
      <c r="N40" s="191"/>
      <c r="O40" s="191"/>
      <c r="P40" s="191"/>
    </row>
    <row r="41" spans="1:16">
      <c r="A41" s="188">
        <v>26.098261076750159</v>
      </c>
      <c r="B41" s="190" t="str">
        <f t="shared" si="1"/>
        <v>19</v>
      </c>
      <c r="C41" s="189" t="s">
        <v>247</v>
      </c>
      <c r="D41" s="190">
        <v>2019</v>
      </c>
      <c r="G41" s="191"/>
      <c r="H41" s="191"/>
      <c r="I41" s="191"/>
      <c r="J41" s="191"/>
      <c r="K41" s="191"/>
      <c r="L41" s="191"/>
      <c r="M41" s="191"/>
      <c r="N41" s="191"/>
      <c r="O41" s="191"/>
      <c r="P41" s="191"/>
    </row>
    <row r="42" spans="1:16">
      <c r="A42" s="188">
        <v>25.619827473625861</v>
      </c>
      <c r="B42" s="190" t="str">
        <f t="shared" si="1"/>
        <v>20</v>
      </c>
      <c r="C42" s="189" t="s">
        <v>247</v>
      </c>
      <c r="D42" s="190">
        <v>2020</v>
      </c>
      <c r="G42" s="191"/>
      <c r="H42" s="191"/>
      <c r="I42" s="191"/>
      <c r="J42" s="191"/>
      <c r="K42" s="191"/>
      <c r="L42" s="191"/>
      <c r="M42" s="191"/>
      <c r="N42" s="191"/>
      <c r="O42" s="191"/>
      <c r="P42" s="191"/>
    </row>
    <row r="43" spans="1:16">
      <c r="A43" s="188">
        <v>26.43511717091911</v>
      </c>
      <c r="B43" s="190" t="str">
        <f t="shared" si="1"/>
        <v>21</v>
      </c>
      <c r="C43" s="189" t="s">
        <v>247</v>
      </c>
      <c r="D43" s="190">
        <v>2021</v>
      </c>
      <c r="G43" s="191"/>
      <c r="H43" s="191"/>
      <c r="I43" s="191"/>
      <c r="J43" s="191"/>
      <c r="K43" s="191"/>
      <c r="L43" s="191"/>
      <c r="M43" s="191"/>
      <c r="N43" s="191"/>
      <c r="O43" s="191"/>
      <c r="P43" s="191"/>
    </row>
    <row r="44" spans="1:16">
      <c r="A44" s="188">
        <v>26.619255419117312</v>
      </c>
      <c r="B44" s="190" t="str">
        <f t="shared" si="1"/>
        <v>22</v>
      </c>
      <c r="C44" s="189" t="s">
        <v>247</v>
      </c>
      <c r="D44" s="190">
        <v>2022</v>
      </c>
    </row>
    <row r="45" spans="1:16">
      <c r="A45" s="188">
        <v>26.547645936497339</v>
      </c>
      <c r="B45" s="190" t="str">
        <f t="shared" si="1"/>
        <v>23</v>
      </c>
      <c r="C45" s="189" t="s">
        <v>247</v>
      </c>
      <c r="D45" s="190">
        <v>2023</v>
      </c>
    </row>
    <row r="46" spans="1:16">
      <c r="A46" s="188">
        <v>26.468051656942627</v>
      </c>
      <c r="B46" s="190" t="str">
        <f t="shared" si="1"/>
        <v>24</v>
      </c>
      <c r="C46" s="189" t="s">
        <v>247</v>
      </c>
      <c r="D46" s="190">
        <v>2024</v>
      </c>
    </row>
    <row r="47" spans="1:16" s="196" customFormat="1">
      <c r="A47" s="194">
        <v>26.378392252523533</v>
      </c>
      <c r="B47" s="195" t="str">
        <f t="shared" si="1"/>
        <v>25</v>
      </c>
      <c r="C47" s="196" t="s">
        <v>247</v>
      </c>
      <c r="D47" s="190">
        <v>2025</v>
      </c>
    </row>
    <row r="48" spans="1:16">
      <c r="A48" s="188">
        <v>14.714985684445248</v>
      </c>
      <c r="B48" s="190">
        <v>1980</v>
      </c>
      <c r="C48" s="189" t="s">
        <v>249</v>
      </c>
      <c r="D48" s="190">
        <v>1980</v>
      </c>
    </row>
    <row r="49" spans="1:4">
      <c r="A49" s="188">
        <v>14.782170242605394</v>
      </c>
      <c r="B49" s="190">
        <v>1981</v>
      </c>
      <c r="C49" s="189" t="s">
        <v>249</v>
      </c>
      <c r="D49" s="190">
        <v>1981</v>
      </c>
    </row>
    <row r="50" spans="1:4">
      <c r="A50" s="188">
        <v>16.804123730955489</v>
      </c>
      <c r="B50" s="190">
        <v>1982</v>
      </c>
      <c r="C50" s="189" t="s">
        <v>249</v>
      </c>
      <c r="D50" s="190">
        <v>1982</v>
      </c>
    </row>
    <row r="51" spans="1:4">
      <c r="A51" s="188">
        <v>16.651390855017773</v>
      </c>
      <c r="B51" s="190">
        <v>1983</v>
      </c>
      <c r="C51" s="189" t="s">
        <v>249</v>
      </c>
      <c r="D51" s="190">
        <v>1983</v>
      </c>
    </row>
    <row r="52" spans="1:4">
      <c r="A52" s="188">
        <v>19.254534769984211</v>
      </c>
      <c r="B52" s="190">
        <v>1984</v>
      </c>
      <c r="C52" s="189" t="s">
        <v>249</v>
      </c>
      <c r="D52" s="190">
        <v>1984</v>
      </c>
    </row>
    <row r="53" spans="1:4">
      <c r="A53" s="188">
        <v>18.000978107265457</v>
      </c>
      <c r="B53" s="190">
        <v>1985</v>
      </c>
      <c r="C53" s="189" t="s">
        <v>249</v>
      </c>
      <c r="D53" s="190">
        <v>1985</v>
      </c>
    </row>
    <row r="54" spans="1:4">
      <c r="A54" s="188">
        <v>18.33279719032247</v>
      </c>
      <c r="B54" s="190">
        <v>1986</v>
      </c>
      <c r="C54" s="189" t="s">
        <v>249</v>
      </c>
      <c r="D54" s="190">
        <v>1986</v>
      </c>
    </row>
    <row r="55" spans="1:4">
      <c r="A55" s="188">
        <v>17.591694577675575</v>
      </c>
      <c r="B55" s="190">
        <v>1987</v>
      </c>
      <c r="C55" s="189" t="s">
        <v>249</v>
      </c>
      <c r="D55" s="190">
        <v>1987</v>
      </c>
    </row>
    <row r="56" spans="1:4">
      <c r="A56" s="188">
        <v>19.081420705287357</v>
      </c>
      <c r="B56" s="190">
        <v>1988</v>
      </c>
      <c r="C56" s="189" t="s">
        <v>249</v>
      </c>
      <c r="D56" s="190">
        <v>1988</v>
      </c>
    </row>
    <row r="57" spans="1:4">
      <c r="A57" s="188">
        <v>17.869064347317135</v>
      </c>
      <c r="B57" s="190">
        <v>1989</v>
      </c>
      <c r="C57" s="189" t="s">
        <v>249</v>
      </c>
      <c r="D57" s="190">
        <v>1989</v>
      </c>
    </row>
    <row r="58" spans="1:4">
      <c r="A58" s="188">
        <v>13.935614270624527</v>
      </c>
      <c r="B58" s="190">
        <v>1990</v>
      </c>
      <c r="C58" s="189" t="s">
        <v>249</v>
      </c>
      <c r="D58" s="190">
        <v>1990</v>
      </c>
    </row>
    <row r="59" spans="1:4">
      <c r="A59" s="188">
        <v>14.406113880199301</v>
      </c>
      <c r="B59" s="190">
        <v>1991</v>
      </c>
      <c r="C59" s="189" t="s">
        <v>249</v>
      </c>
      <c r="D59" s="190">
        <v>1991</v>
      </c>
    </row>
    <row r="60" spans="1:4">
      <c r="A60" s="188">
        <v>14.199621652525172</v>
      </c>
      <c r="B60" s="190">
        <v>1992</v>
      </c>
      <c r="C60" s="189" t="s">
        <v>249</v>
      </c>
      <c r="D60" s="190">
        <v>1992</v>
      </c>
    </row>
    <row r="61" spans="1:4">
      <c r="A61" s="188">
        <v>13.636251129667041</v>
      </c>
      <c r="B61" s="190">
        <v>1993</v>
      </c>
      <c r="C61" s="189" t="s">
        <v>249</v>
      </c>
      <c r="D61" s="190">
        <v>1993</v>
      </c>
    </row>
    <row r="62" spans="1:4">
      <c r="A62" s="188">
        <v>13.349091531846112</v>
      </c>
      <c r="B62" s="190">
        <v>1994</v>
      </c>
      <c r="C62" s="189" t="s">
        <v>249</v>
      </c>
      <c r="D62" s="190">
        <v>1994</v>
      </c>
    </row>
    <row r="63" spans="1:4">
      <c r="A63" s="188">
        <v>13.984523012187472</v>
      </c>
      <c r="B63" s="190">
        <v>1995</v>
      </c>
      <c r="C63" s="189" t="s">
        <v>249</v>
      </c>
      <c r="D63" s="190">
        <v>1995</v>
      </c>
    </row>
    <row r="64" spans="1:4">
      <c r="A64" s="188">
        <v>14.619251583933078</v>
      </c>
      <c r="B64" s="190">
        <v>1996</v>
      </c>
      <c r="C64" s="189" t="s">
        <v>249</v>
      </c>
      <c r="D64" s="190">
        <v>1996</v>
      </c>
    </row>
    <row r="65" spans="1:4">
      <c r="A65" s="188">
        <v>14.828492077403812</v>
      </c>
      <c r="B65" s="190">
        <v>1997</v>
      </c>
      <c r="C65" s="189" t="s">
        <v>249</v>
      </c>
      <c r="D65" s="190">
        <v>1997</v>
      </c>
    </row>
    <row r="66" spans="1:4">
      <c r="A66" s="188">
        <v>14.85000222546568</v>
      </c>
      <c r="B66" s="190">
        <v>1998</v>
      </c>
      <c r="C66" s="189" t="s">
        <v>249</v>
      </c>
      <c r="D66" s="190">
        <v>1998</v>
      </c>
    </row>
    <row r="67" spans="1:4">
      <c r="A67" s="188">
        <v>15.340408028885015</v>
      </c>
      <c r="B67" s="190">
        <v>1999</v>
      </c>
      <c r="C67" s="189" t="s">
        <v>249</v>
      </c>
      <c r="D67" s="190">
        <v>1999</v>
      </c>
    </row>
    <row r="68" spans="1:4">
      <c r="A68" s="188">
        <v>15.82233956869908</v>
      </c>
      <c r="B68" s="190">
        <v>2000</v>
      </c>
      <c r="C68" s="189" t="s">
        <v>249</v>
      </c>
      <c r="D68" s="190">
        <v>2000</v>
      </c>
    </row>
    <row r="69" spans="1:4">
      <c r="A69" s="188">
        <v>15.612910699853323</v>
      </c>
      <c r="B69" s="190">
        <v>2001</v>
      </c>
      <c r="C69" s="189" t="s">
        <v>249</v>
      </c>
      <c r="D69" s="190">
        <v>2001</v>
      </c>
    </row>
    <row r="70" spans="1:4">
      <c r="A70" s="188">
        <v>15.56869563530516</v>
      </c>
      <c r="B70" s="190">
        <v>2002</v>
      </c>
      <c r="C70" s="189" t="s">
        <v>249</v>
      </c>
      <c r="D70" s="190">
        <v>2002</v>
      </c>
    </row>
    <row r="71" spans="1:4">
      <c r="A71" s="188">
        <v>15.92943859587356</v>
      </c>
      <c r="B71" s="190">
        <v>2003</v>
      </c>
      <c r="C71" s="189" t="s">
        <v>249</v>
      </c>
      <c r="D71" s="190">
        <v>2003</v>
      </c>
    </row>
    <row r="72" spans="1:4">
      <c r="A72" s="188">
        <v>16.095454313372667</v>
      </c>
      <c r="B72" s="190">
        <v>2004</v>
      </c>
      <c r="C72" s="189" t="s">
        <v>249</v>
      </c>
      <c r="D72" s="190">
        <v>2004</v>
      </c>
    </row>
    <row r="73" spans="1:4">
      <c r="A73" s="188">
        <v>17.024080226641903</v>
      </c>
      <c r="B73" s="190">
        <v>2005</v>
      </c>
      <c r="C73" s="189" t="s">
        <v>249</v>
      </c>
      <c r="D73" s="190">
        <v>2005</v>
      </c>
    </row>
    <row r="74" spans="1:4">
      <c r="A74" s="188">
        <v>17.86044016776567</v>
      </c>
      <c r="B74" s="190">
        <v>2006</v>
      </c>
      <c r="C74" s="189" t="s">
        <v>249</v>
      </c>
      <c r="D74" s="190">
        <v>2006</v>
      </c>
    </row>
    <row r="75" spans="1:4">
      <c r="A75" s="188">
        <v>18.062543855969629</v>
      </c>
      <c r="B75" s="190">
        <v>2007</v>
      </c>
      <c r="C75" s="189" t="s">
        <v>249</v>
      </c>
      <c r="D75" s="190">
        <v>2007</v>
      </c>
    </row>
    <row r="76" spans="1:4">
      <c r="A76" s="188">
        <v>18.779073727453582</v>
      </c>
      <c r="B76" s="190">
        <v>2008</v>
      </c>
      <c r="C76" s="189" t="s">
        <v>249</v>
      </c>
      <c r="D76" s="190">
        <v>2008</v>
      </c>
    </row>
    <row r="77" spans="1:4">
      <c r="A77" s="188">
        <v>17.258012319225696</v>
      </c>
      <c r="B77" s="190">
        <v>2009</v>
      </c>
      <c r="C77" s="189" t="s">
        <v>249</v>
      </c>
      <c r="D77" s="190">
        <v>2009</v>
      </c>
    </row>
    <row r="78" spans="1:4">
      <c r="A78" s="188">
        <v>17.137686672944184</v>
      </c>
      <c r="B78" s="190">
        <v>2010</v>
      </c>
      <c r="C78" s="189" t="s">
        <v>249</v>
      </c>
      <c r="D78" s="190">
        <v>2010</v>
      </c>
    </row>
    <row r="79" spans="1:4">
      <c r="A79" s="188">
        <v>17.677900730122083</v>
      </c>
      <c r="B79" s="190">
        <v>2011</v>
      </c>
      <c r="C79" s="189" t="s">
        <v>249</v>
      </c>
      <c r="D79" s="190">
        <v>2011</v>
      </c>
    </row>
    <row r="80" spans="1:4">
      <c r="A80" s="188">
        <v>17.782842050420037</v>
      </c>
      <c r="B80" s="190">
        <v>2012</v>
      </c>
      <c r="C80" s="189" t="s">
        <v>249</v>
      </c>
      <c r="D80" s="190">
        <v>2012</v>
      </c>
    </row>
    <row r="81" spans="1:4">
      <c r="A81" s="188">
        <v>17.810039941736814</v>
      </c>
      <c r="B81" s="190">
        <v>2013</v>
      </c>
      <c r="C81" s="189" t="s">
        <v>249</v>
      </c>
      <c r="D81" s="190">
        <v>2013</v>
      </c>
    </row>
    <row r="82" spans="1:4">
      <c r="A82" s="188">
        <v>17.744218508436106</v>
      </c>
      <c r="B82" s="190">
        <v>2014</v>
      </c>
      <c r="C82" s="189" t="s">
        <v>249</v>
      </c>
      <c r="D82" s="190">
        <v>2014</v>
      </c>
    </row>
    <row r="83" spans="1:4">
      <c r="A83" s="188">
        <v>17.44603936333306</v>
      </c>
      <c r="B83" s="190">
        <v>2015</v>
      </c>
      <c r="C83" s="189" t="s">
        <v>249</v>
      </c>
      <c r="D83" s="190">
        <v>2015</v>
      </c>
    </row>
    <row r="84" spans="1:4">
      <c r="A84" s="188">
        <v>16.983565509213399</v>
      </c>
      <c r="B84" s="190">
        <v>2016</v>
      </c>
      <c r="C84" s="189" t="s">
        <v>249</v>
      </c>
      <c r="D84" s="190">
        <v>2016</v>
      </c>
    </row>
    <row r="85" spans="1:4">
      <c r="A85" s="188">
        <v>17.14421311962575</v>
      </c>
      <c r="B85" s="190">
        <v>2017</v>
      </c>
      <c r="C85" s="189" t="s">
        <v>249</v>
      </c>
      <c r="D85" s="190">
        <v>2017</v>
      </c>
    </row>
    <row r="86" spans="1:4">
      <c r="A86" s="188">
        <v>17.837855750437544</v>
      </c>
      <c r="B86" s="190">
        <v>2018</v>
      </c>
      <c r="C86" s="189" t="s">
        <v>249</v>
      </c>
      <c r="D86" s="190">
        <v>2018</v>
      </c>
    </row>
    <row r="87" spans="1:4">
      <c r="A87" s="188">
        <v>17.83890465901953</v>
      </c>
      <c r="B87" s="190">
        <v>2019</v>
      </c>
      <c r="C87" s="189" t="s">
        <v>249</v>
      </c>
      <c r="D87" s="190">
        <v>2019</v>
      </c>
    </row>
    <row r="88" spans="1:4">
      <c r="A88" s="188">
        <v>17.162676761759258</v>
      </c>
      <c r="B88" s="190">
        <v>2020</v>
      </c>
      <c r="C88" s="189" t="s">
        <v>249</v>
      </c>
      <c r="D88" s="190">
        <v>2020</v>
      </c>
    </row>
    <row r="89" spans="1:4">
      <c r="A89" s="188">
        <v>17.549237699120514</v>
      </c>
      <c r="B89" s="190">
        <v>2021</v>
      </c>
      <c r="C89" s="189" t="s">
        <v>249</v>
      </c>
      <c r="D89" s="190">
        <v>2021</v>
      </c>
    </row>
    <row r="90" spans="1:4">
      <c r="A90" s="188">
        <v>17.856560236525191</v>
      </c>
      <c r="B90" s="190">
        <v>2022</v>
      </c>
      <c r="C90" s="189" t="s">
        <v>249</v>
      </c>
      <c r="D90" s="190">
        <v>2022</v>
      </c>
    </row>
    <row r="91" spans="1:4">
      <c r="A91" s="188">
        <v>17.856047075573365</v>
      </c>
      <c r="B91" s="190">
        <v>2023</v>
      </c>
      <c r="C91" s="189" t="s">
        <v>249</v>
      </c>
      <c r="D91" s="190">
        <v>2023</v>
      </c>
    </row>
    <row r="92" spans="1:4">
      <c r="A92" s="188">
        <v>17.78819606749467</v>
      </c>
      <c r="B92" s="190">
        <v>2024</v>
      </c>
      <c r="C92" s="189" t="s">
        <v>249</v>
      </c>
      <c r="D92" s="190">
        <v>2024</v>
      </c>
    </row>
    <row r="93" spans="1:4" s="196" customFormat="1">
      <c r="A93" s="194">
        <v>17.942810795565897</v>
      </c>
      <c r="B93" s="195">
        <v>2025</v>
      </c>
      <c r="C93" s="196" t="s">
        <v>249</v>
      </c>
      <c r="D93" s="190">
        <v>2025</v>
      </c>
    </row>
    <row r="94" spans="1:4">
      <c r="A94" s="188">
        <v>4.6782296316998524</v>
      </c>
      <c r="B94" s="190">
        <v>1980</v>
      </c>
      <c r="C94" s="189" t="s">
        <v>250</v>
      </c>
      <c r="D94" s="190">
        <v>1980</v>
      </c>
    </row>
    <row r="95" spans="1:4">
      <c r="A95" s="188">
        <v>5.0356570700928778</v>
      </c>
      <c r="B95" s="190">
        <v>1981</v>
      </c>
      <c r="C95" s="189" t="s">
        <v>250</v>
      </c>
      <c r="D95" s="190">
        <v>1981</v>
      </c>
    </row>
    <row r="96" spans="1:4">
      <c r="A96" s="188">
        <v>8.0543242815963847</v>
      </c>
      <c r="B96" s="190">
        <v>1982</v>
      </c>
      <c r="C96" s="189" t="s">
        <v>250</v>
      </c>
      <c r="D96" s="190">
        <v>1982</v>
      </c>
    </row>
    <row r="97" spans="1:4">
      <c r="A97" s="188">
        <v>7.2534959723129093</v>
      </c>
      <c r="B97" s="190">
        <v>1983</v>
      </c>
      <c r="C97" s="189" t="s">
        <v>250</v>
      </c>
      <c r="D97" s="190">
        <v>1983</v>
      </c>
    </row>
    <row r="98" spans="1:4">
      <c r="A98" s="188">
        <v>6.8324597753038141</v>
      </c>
      <c r="B98" s="190">
        <v>1984</v>
      </c>
      <c r="C98" s="189" t="s">
        <v>250</v>
      </c>
      <c r="D98" s="190">
        <v>1984</v>
      </c>
    </row>
    <row r="99" spans="1:4">
      <c r="A99" s="188">
        <v>5.8950555249451497</v>
      </c>
      <c r="B99" s="190">
        <v>1985</v>
      </c>
      <c r="C99" s="189" t="s">
        <v>250</v>
      </c>
      <c r="D99" s="190">
        <v>1985</v>
      </c>
    </row>
    <row r="100" spans="1:4">
      <c r="A100" s="188">
        <v>6.375307947501522</v>
      </c>
      <c r="B100" s="190">
        <v>1986</v>
      </c>
      <c r="C100" s="189" t="s">
        <v>250</v>
      </c>
      <c r="D100" s="190">
        <v>1986</v>
      </c>
    </row>
    <row r="101" spans="1:4">
      <c r="A101" s="188">
        <v>7.0154261913180056</v>
      </c>
      <c r="B101" s="190">
        <v>1987</v>
      </c>
      <c r="C101" s="189" t="s">
        <v>250</v>
      </c>
      <c r="D101" s="190">
        <v>1987</v>
      </c>
    </row>
    <row r="102" spans="1:4">
      <c r="A102" s="188">
        <v>7.9573694945782005</v>
      </c>
      <c r="B102" s="190">
        <v>1988</v>
      </c>
      <c r="C102" s="189" t="s">
        <v>250</v>
      </c>
      <c r="D102" s="190">
        <v>1988</v>
      </c>
    </row>
    <row r="103" spans="1:4">
      <c r="A103" s="188">
        <v>9.348791158947046</v>
      </c>
      <c r="B103" s="190">
        <v>1989</v>
      </c>
      <c r="C103" s="189" t="s">
        <v>250</v>
      </c>
      <c r="D103" s="190">
        <v>1989</v>
      </c>
    </row>
    <row r="104" spans="1:4">
      <c r="A104" s="188">
        <v>9.9530042285541693</v>
      </c>
      <c r="B104" s="190">
        <v>1990</v>
      </c>
      <c r="C104" s="189" t="s">
        <v>250</v>
      </c>
      <c r="D104" s="190">
        <v>1990</v>
      </c>
    </row>
    <row r="105" spans="1:4">
      <c r="A105" s="188">
        <v>10.155445200604619</v>
      </c>
      <c r="B105" s="190">
        <v>1991</v>
      </c>
      <c r="C105" s="189" t="s">
        <v>250</v>
      </c>
      <c r="D105" s="190">
        <v>1991</v>
      </c>
    </row>
    <row r="106" spans="1:4">
      <c r="A106" s="188">
        <v>11.021402032298584</v>
      </c>
      <c r="B106" s="190">
        <v>1992</v>
      </c>
      <c r="C106" s="189" t="s">
        <v>250</v>
      </c>
      <c r="D106" s="190">
        <v>1992</v>
      </c>
    </row>
    <row r="107" spans="1:4">
      <c r="A107" s="188">
        <v>11.53149939349254</v>
      </c>
      <c r="B107" s="190">
        <v>1993</v>
      </c>
      <c r="C107" s="189" t="s">
        <v>250</v>
      </c>
      <c r="D107" s="190">
        <v>1993</v>
      </c>
    </row>
    <row r="108" spans="1:4">
      <c r="A108" s="188">
        <v>11.335829560795187</v>
      </c>
      <c r="B108" s="190">
        <v>1994</v>
      </c>
      <c r="C108" s="189" t="s">
        <v>250</v>
      </c>
      <c r="D108" s="190">
        <v>1994</v>
      </c>
    </row>
    <row r="109" spans="1:4">
      <c r="A109" s="188">
        <v>12.001180334407643</v>
      </c>
      <c r="B109" s="190">
        <v>1995</v>
      </c>
      <c r="C109" s="189" t="s">
        <v>250</v>
      </c>
      <c r="D109" s="190">
        <v>1995</v>
      </c>
    </row>
    <row r="110" spans="1:4">
      <c r="A110" s="188">
        <v>11.461712614386315</v>
      </c>
      <c r="B110" s="190">
        <v>1996</v>
      </c>
      <c r="C110" s="189" t="s">
        <v>250</v>
      </c>
      <c r="D110" s="190">
        <v>1996</v>
      </c>
    </row>
    <row r="111" spans="1:4">
      <c r="A111" s="188">
        <v>11.592526050681618</v>
      </c>
      <c r="B111" s="190">
        <v>1997</v>
      </c>
      <c r="C111" s="189" t="s">
        <v>250</v>
      </c>
      <c r="D111" s="190">
        <v>1997</v>
      </c>
    </row>
    <row r="112" spans="1:4">
      <c r="A112" s="188">
        <v>11.009994052974704</v>
      </c>
      <c r="B112" s="190">
        <v>1998</v>
      </c>
      <c r="C112" s="189" t="s">
        <v>250</v>
      </c>
      <c r="D112" s="190">
        <v>1998</v>
      </c>
    </row>
    <row r="113" spans="1:4">
      <c r="A113" s="188">
        <v>10.979758793450941</v>
      </c>
      <c r="B113" s="190">
        <v>1999</v>
      </c>
      <c r="C113" s="189" t="s">
        <v>250</v>
      </c>
      <c r="D113" s="190">
        <v>1999</v>
      </c>
    </row>
    <row r="114" spans="1:4">
      <c r="A114" s="188">
        <v>10.797499714300626</v>
      </c>
      <c r="B114" s="190">
        <v>2000</v>
      </c>
      <c r="C114" s="189" t="s">
        <v>250</v>
      </c>
      <c r="D114" s="190">
        <v>2000</v>
      </c>
    </row>
    <row r="115" spans="1:4">
      <c r="A115" s="188">
        <v>10.634389363098105</v>
      </c>
      <c r="B115" s="190">
        <v>2001</v>
      </c>
      <c r="C115" s="189" t="s">
        <v>250</v>
      </c>
      <c r="D115" s="190">
        <v>2001</v>
      </c>
    </row>
    <row r="116" spans="1:4">
      <c r="A116" s="188">
        <v>10.494854446583473</v>
      </c>
      <c r="B116" s="190">
        <v>2002</v>
      </c>
      <c r="C116" s="189" t="s">
        <v>250</v>
      </c>
      <c r="D116" s="190">
        <v>2002</v>
      </c>
    </row>
    <row r="117" spans="1:4">
      <c r="A117" s="188">
        <v>10.718473567721061</v>
      </c>
      <c r="B117" s="190">
        <v>2003</v>
      </c>
      <c r="C117" s="189" t="s">
        <v>250</v>
      </c>
      <c r="D117" s="190">
        <v>2003</v>
      </c>
    </row>
    <row r="118" spans="1:4">
      <c r="A118" s="188">
        <v>11.224106919111186</v>
      </c>
      <c r="B118" s="190">
        <v>2004</v>
      </c>
      <c r="C118" s="189" t="s">
        <v>250</v>
      </c>
      <c r="D118" s="190">
        <v>2004</v>
      </c>
    </row>
    <row r="119" spans="1:4">
      <c r="A119" s="188">
        <v>11.526392897801477</v>
      </c>
      <c r="B119" s="190">
        <v>2005</v>
      </c>
      <c r="C119" s="189" t="s">
        <v>250</v>
      </c>
      <c r="D119" s="190">
        <v>2005</v>
      </c>
    </row>
    <row r="120" spans="1:4">
      <c r="A120" s="188">
        <v>12.191433108002331</v>
      </c>
      <c r="B120" s="190">
        <v>2006</v>
      </c>
      <c r="C120" s="189" t="s">
        <v>250</v>
      </c>
      <c r="D120" s="190">
        <v>2006</v>
      </c>
    </row>
    <row r="121" spans="1:4">
      <c r="A121" s="188">
        <v>12.440268014917615</v>
      </c>
      <c r="B121" s="190">
        <v>2007</v>
      </c>
      <c r="C121" s="189" t="s">
        <v>250</v>
      </c>
      <c r="D121" s="190">
        <v>2007</v>
      </c>
    </row>
    <row r="122" spans="1:4">
      <c r="A122" s="188">
        <v>12.695656238892314</v>
      </c>
      <c r="B122" s="190">
        <v>2008</v>
      </c>
      <c r="C122" s="189" t="s">
        <v>250</v>
      </c>
      <c r="D122" s="190">
        <v>2008</v>
      </c>
    </row>
    <row r="123" spans="1:4">
      <c r="A123" s="188">
        <v>12.172963524333117</v>
      </c>
      <c r="B123" s="190">
        <v>2009</v>
      </c>
      <c r="C123" s="189" t="s">
        <v>250</v>
      </c>
      <c r="D123" s="190">
        <v>2009</v>
      </c>
    </row>
    <row r="124" spans="1:4">
      <c r="A124" s="188">
        <v>12.724053145747996</v>
      </c>
      <c r="B124" s="190">
        <v>2010</v>
      </c>
      <c r="C124" s="189" t="s">
        <v>250</v>
      </c>
      <c r="D124" s="190">
        <v>2010</v>
      </c>
    </row>
    <row r="125" spans="1:4">
      <c r="A125" s="188">
        <v>13.04990280846642</v>
      </c>
      <c r="B125" s="190">
        <v>2011</v>
      </c>
      <c r="C125" s="189" t="s">
        <v>250</v>
      </c>
      <c r="D125" s="190">
        <v>2011</v>
      </c>
    </row>
    <row r="126" spans="1:4">
      <c r="A126" s="188">
        <v>13.552678051922337</v>
      </c>
      <c r="B126" s="190">
        <v>2012</v>
      </c>
      <c r="C126" s="189" t="s">
        <v>250</v>
      </c>
      <c r="D126" s="190">
        <v>2012</v>
      </c>
    </row>
    <row r="127" spans="1:4">
      <c r="A127" s="188">
        <v>13.280563065973412</v>
      </c>
      <c r="B127" s="190">
        <v>2013</v>
      </c>
      <c r="C127" s="189" t="s">
        <v>250</v>
      </c>
      <c r="D127" s="190">
        <v>2013</v>
      </c>
    </row>
    <row r="128" spans="1:4">
      <c r="A128" s="188">
        <v>13.254907894040951</v>
      </c>
      <c r="B128" s="190">
        <v>2014</v>
      </c>
      <c r="C128" s="189" t="s">
        <v>250</v>
      </c>
      <c r="D128" s="190">
        <v>2014</v>
      </c>
    </row>
    <row r="129" spans="1:6">
      <c r="A129" s="188">
        <v>12.854128343353219</v>
      </c>
      <c r="B129" s="190">
        <v>2015</v>
      </c>
      <c r="C129" s="189" t="s">
        <v>250</v>
      </c>
      <c r="D129" s="190">
        <v>2015</v>
      </c>
    </row>
    <row r="130" spans="1:6">
      <c r="A130" s="188">
        <v>12.59479066409258</v>
      </c>
      <c r="B130" s="190">
        <v>2016</v>
      </c>
      <c r="C130" s="189" t="s">
        <v>250</v>
      </c>
      <c r="D130" s="190">
        <v>2016</v>
      </c>
    </row>
    <row r="131" spans="1:6">
      <c r="A131" s="188">
        <v>12.895011342118536</v>
      </c>
      <c r="B131" s="190">
        <v>2017</v>
      </c>
      <c r="C131" s="189" t="s">
        <v>250</v>
      </c>
      <c r="D131" s="190">
        <v>2017</v>
      </c>
    </row>
    <row r="132" spans="1:6">
      <c r="A132" s="188">
        <v>13.047045765363551</v>
      </c>
      <c r="B132" s="190">
        <v>2018</v>
      </c>
      <c r="C132" s="189" t="s">
        <v>250</v>
      </c>
      <c r="D132" s="190">
        <v>2018</v>
      </c>
    </row>
    <row r="133" spans="1:6">
      <c r="A133" s="188">
        <v>13.059104764294592</v>
      </c>
      <c r="B133" s="190">
        <v>2019</v>
      </c>
      <c r="C133" s="189" t="s">
        <v>250</v>
      </c>
      <c r="D133" s="190">
        <v>2019</v>
      </c>
    </row>
    <row r="134" spans="1:6">
      <c r="A134" s="188">
        <v>12.429214655838457</v>
      </c>
      <c r="B134" s="190">
        <v>2020</v>
      </c>
      <c r="C134" s="189" t="s">
        <v>250</v>
      </c>
      <c r="D134" s="190">
        <v>2020</v>
      </c>
    </row>
    <row r="135" spans="1:6">
      <c r="A135" s="188">
        <v>12.984185468315223</v>
      </c>
      <c r="B135" s="190">
        <v>2021</v>
      </c>
      <c r="C135" s="189" t="s">
        <v>250</v>
      </c>
      <c r="D135" s="190">
        <v>2021</v>
      </c>
      <c r="E135" s="197" t="s">
        <v>251</v>
      </c>
      <c r="F135" s="197" t="s">
        <v>252</v>
      </c>
    </row>
    <row r="136" spans="1:6">
      <c r="A136" s="188">
        <v>13.169546839790819</v>
      </c>
      <c r="B136" s="190">
        <v>2022</v>
      </c>
      <c r="C136" s="189" t="s">
        <v>250</v>
      </c>
      <c r="D136" s="190">
        <v>2022</v>
      </c>
      <c r="E136" s="198">
        <f>A90-A136</f>
        <v>4.6870133967343719</v>
      </c>
      <c r="F136" s="198">
        <f>A44-A136</f>
        <v>13.449708579326494</v>
      </c>
    </row>
    <row r="137" spans="1:6">
      <c r="A137" s="188">
        <v>13.488399891916059</v>
      </c>
      <c r="B137" s="190">
        <v>2023</v>
      </c>
      <c r="C137" s="189" t="s">
        <v>250</v>
      </c>
      <c r="D137" s="190">
        <v>2023</v>
      </c>
    </row>
    <row r="138" spans="1:6">
      <c r="A138" s="188">
        <v>14.008382437598089</v>
      </c>
      <c r="B138" s="190">
        <v>2024</v>
      </c>
      <c r="C138" s="189" t="s">
        <v>250</v>
      </c>
      <c r="D138" s="190">
        <v>2024</v>
      </c>
    </row>
    <row r="139" spans="1:6">
      <c r="A139" s="188">
        <v>14.186308851383574</v>
      </c>
      <c r="B139" s="190">
        <v>2025</v>
      </c>
      <c r="C139" s="189" t="s">
        <v>250</v>
      </c>
      <c r="D139" s="190">
        <v>2025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B36B-A81F-44EB-BF93-44829963DFB2}">
  <dimension ref="A1:I48"/>
  <sheetViews>
    <sheetView zoomScale="90" zoomScaleNormal="90" workbookViewId="0">
      <selection activeCell="B88" sqref="B88:K88"/>
    </sheetView>
  </sheetViews>
  <sheetFormatPr defaultRowHeight="12.75"/>
  <cols>
    <col min="1" max="1" width="9.140625" style="158"/>
    <col min="2" max="2" width="28.28515625" style="158" customWidth="1"/>
    <col min="3" max="3" width="6.28515625" style="158" customWidth="1"/>
    <col min="4" max="4" width="8" style="158" customWidth="1"/>
    <col min="5" max="8" width="9.140625" style="158"/>
    <col min="9" max="9" width="19" style="158" customWidth="1"/>
    <col min="10" max="257" width="9.140625" style="158"/>
    <col min="258" max="258" width="28.28515625" style="158" customWidth="1"/>
    <col min="259" max="259" width="6.28515625" style="158" customWidth="1"/>
    <col min="260" max="260" width="8" style="158" customWidth="1"/>
    <col min="261" max="264" width="9.140625" style="158"/>
    <col min="265" max="265" width="19" style="158" customWidth="1"/>
    <col min="266" max="513" width="9.140625" style="158"/>
    <col min="514" max="514" width="28.28515625" style="158" customWidth="1"/>
    <col min="515" max="515" width="6.28515625" style="158" customWidth="1"/>
    <col min="516" max="516" width="8" style="158" customWidth="1"/>
    <col min="517" max="520" width="9.140625" style="158"/>
    <col min="521" max="521" width="19" style="158" customWidth="1"/>
    <col min="522" max="769" width="9.140625" style="158"/>
    <col min="770" max="770" width="28.28515625" style="158" customWidth="1"/>
    <col min="771" max="771" width="6.28515625" style="158" customWidth="1"/>
    <col min="772" max="772" width="8" style="158" customWidth="1"/>
    <col min="773" max="776" width="9.140625" style="158"/>
    <col min="777" max="777" width="19" style="158" customWidth="1"/>
    <col min="778" max="1025" width="9.140625" style="158"/>
    <col min="1026" max="1026" width="28.28515625" style="158" customWidth="1"/>
    <col min="1027" max="1027" width="6.28515625" style="158" customWidth="1"/>
    <col min="1028" max="1028" width="8" style="158" customWidth="1"/>
    <col min="1029" max="1032" width="9.140625" style="158"/>
    <col min="1033" max="1033" width="19" style="158" customWidth="1"/>
    <col min="1034" max="1281" width="9.140625" style="158"/>
    <col min="1282" max="1282" width="28.28515625" style="158" customWidth="1"/>
    <col min="1283" max="1283" width="6.28515625" style="158" customWidth="1"/>
    <col min="1284" max="1284" width="8" style="158" customWidth="1"/>
    <col min="1285" max="1288" width="9.140625" style="158"/>
    <col min="1289" max="1289" width="19" style="158" customWidth="1"/>
    <col min="1290" max="1537" width="9.140625" style="158"/>
    <col min="1538" max="1538" width="28.28515625" style="158" customWidth="1"/>
    <col min="1539" max="1539" width="6.28515625" style="158" customWidth="1"/>
    <col min="1540" max="1540" width="8" style="158" customWidth="1"/>
    <col min="1541" max="1544" width="9.140625" style="158"/>
    <col min="1545" max="1545" width="19" style="158" customWidth="1"/>
    <col min="1546" max="1793" width="9.140625" style="158"/>
    <col min="1794" max="1794" width="28.28515625" style="158" customWidth="1"/>
    <col min="1795" max="1795" width="6.28515625" style="158" customWidth="1"/>
    <col min="1796" max="1796" width="8" style="158" customWidth="1"/>
    <col min="1797" max="1800" width="9.140625" style="158"/>
    <col min="1801" max="1801" width="19" style="158" customWidth="1"/>
    <col min="1802" max="2049" width="9.140625" style="158"/>
    <col min="2050" max="2050" width="28.28515625" style="158" customWidth="1"/>
    <col min="2051" max="2051" width="6.28515625" style="158" customWidth="1"/>
    <col min="2052" max="2052" width="8" style="158" customWidth="1"/>
    <col min="2053" max="2056" width="9.140625" style="158"/>
    <col min="2057" max="2057" width="19" style="158" customWidth="1"/>
    <col min="2058" max="2305" width="9.140625" style="158"/>
    <col min="2306" max="2306" width="28.28515625" style="158" customWidth="1"/>
    <col min="2307" max="2307" width="6.28515625" style="158" customWidth="1"/>
    <col min="2308" max="2308" width="8" style="158" customWidth="1"/>
    <col min="2309" max="2312" width="9.140625" style="158"/>
    <col min="2313" max="2313" width="19" style="158" customWidth="1"/>
    <col min="2314" max="2561" width="9.140625" style="158"/>
    <col min="2562" max="2562" width="28.28515625" style="158" customWidth="1"/>
    <col min="2563" max="2563" width="6.28515625" style="158" customWidth="1"/>
    <col min="2564" max="2564" width="8" style="158" customWidth="1"/>
    <col min="2565" max="2568" width="9.140625" style="158"/>
    <col min="2569" max="2569" width="19" style="158" customWidth="1"/>
    <col min="2570" max="2817" width="9.140625" style="158"/>
    <col min="2818" max="2818" width="28.28515625" style="158" customWidth="1"/>
    <col min="2819" max="2819" width="6.28515625" style="158" customWidth="1"/>
    <col min="2820" max="2820" width="8" style="158" customWidth="1"/>
    <col min="2821" max="2824" width="9.140625" style="158"/>
    <col min="2825" max="2825" width="19" style="158" customWidth="1"/>
    <col min="2826" max="3073" width="9.140625" style="158"/>
    <col min="3074" max="3074" width="28.28515625" style="158" customWidth="1"/>
    <col min="3075" max="3075" width="6.28515625" style="158" customWidth="1"/>
    <col min="3076" max="3076" width="8" style="158" customWidth="1"/>
    <col min="3077" max="3080" width="9.140625" style="158"/>
    <col min="3081" max="3081" width="19" style="158" customWidth="1"/>
    <col min="3082" max="3329" width="9.140625" style="158"/>
    <col min="3330" max="3330" width="28.28515625" style="158" customWidth="1"/>
    <col min="3331" max="3331" width="6.28515625" style="158" customWidth="1"/>
    <col min="3332" max="3332" width="8" style="158" customWidth="1"/>
    <col min="3333" max="3336" width="9.140625" style="158"/>
    <col min="3337" max="3337" width="19" style="158" customWidth="1"/>
    <col min="3338" max="3585" width="9.140625" style="158"/>
    <col min="3586" max="3586" width="28.28515625" style="158" customWidth="1"/>
    <col min="3587" max="3587" width="6.28515625" style="158" customWidth="1"/>
    <col min="3588" max="3588" width="8" style="158" customWidth="1"/>
    <col min="3589" max="3592" width="9.140625" style="158"/>
    <col min="3593" max="3593" width="19" style="158" customWidth="1"/>
    <col min="3594" max="3841" width="9.140625" style="158"/>
    <col min="3842" max="3842" width="28.28515625" style="158" customWidth="1"/>
    <col min="3843" max="3843" width="6.28515625" style="158" customWidth="1"/>
    <col min="3844" max="3844" width="8" style="158" customWidth="1"/>
    <col min="3845" max="3848" width="9.140625" style="158"/>
    <col min="3849" max="3849" width="19" style="158" customWidth="1"/>
    <col min="3850" max="4097" width="9.140625" style="158"/>
    <col min="4098" max="4098" width="28.28515625" style="158" customWidth="1"/>
    <col min="4099" max="4099" width="6.28515625" style="158" customWidth="1"/>
    <col min="4100" max="4100" width="8" style="158" customWidth="1"/>
    <col min="4101" max="4104" width="9.140625" style="158"/>
    <col min="4105" max="4105" width="19" style="158" customWidth="1"/>
    <col min="4106" max="4353" width="9.140625" style="158"/>
    <col min="4354" max="4354" width="28.28515625" style="158" customWidth="1"/>
    <col min="4355" max="4355" width="6.28515625" style="158" customWidth="1"/>
    <col min="4356" max="4356" width="8" style="158" customWidth="1"/>
    <col min="4357" max="4360" width="9.140625" style="158"/>
    <col min="4361" max="4361" width="19" style="158" customWidth="1"/>
    <col min="4362" max="4609" width="9.140625" style="158"/>
    <col min="4610" max="4610" width="28.28515625" style="158" customWidth="1"/>
    <col min="4611" max="4611" width="6.28515625" style="158" customWidth="1"/>
    <col min="4612" max="4612" width="8" style="158" customWidth="1"/>
    <col min="4613" max="4616" width="9.140625" style="158"/>
    <col min="4617" max="4617" width="19" style="158" customWidth="1"/>
    <col min="4618" max="4865" width="9.140625" style="158"/>
    <col min="4866" max="4866" width="28.28515625" style="158" customWidth="1"/>
    <col min="4867" max="4867" width="6.28515625" style="158" customWidth="1"/>
    <col min="4868" max="4868" width="8" style="158" customWidth="1"/>
    <col min="4869" max="4872" width="9.140625" style="158"/>
    <col min="4873" max="4873" width="19" style="158" customWidth="1"/>
    <col min="4874" max="5121" width="9.140625" style="158"/>
    <col min="5122" max="5122" width="28.28515625" style="158" customWidth="1"/>
    <col min="5123" max="5123" width="6.28515625" style="158" customWidth="1"/>
    <col min="5124" max="5124" width="8" style="158" customWidth="1"/>
    <col min="5125" max="5128" width="9.140625" style="158"/>
    <col min="5129" max="5129" width="19" style="158" customWidth="1"/>
    <col min="5130" max="5377" width="9.140625" style="158"/>
    <col min="5378" max="5378" width="28.28515625" style="158" customWidth="1"/>
    <col min="5379" max="5379" width="6.28515625" style="158" customWidth="1"/>
    <col min="5380" max="5380" width="8" style="158" customWidth="1"/>
    <col min="5381" max="5384" width="9.140625" style="158"/>
    <col min="5385" max="5385" width="19" style="158" customWidth="1"/>
    <col min="5386" max="5633" width="9.140625" style="158"/>
    <col min="5634" max="5634" width="28.28515625" style="158" customWidth="1"/>
    <col min="5635" max="5635" width="6.28515625" style="158" customWidth="1"/>
    <col min="5636" max="5636" width="8" style="158" customWidth="1"/>
    <col min="5637" max="5640" width="9.140625" style="158"/>
    <col min="5641" max="5641" width="19" style="158" customWidth="1"/>
    <col min="5642" max="5889" width="9.140625" style="158"/>
    <col min="5890" max="5890" width="28.28515625" style="158" customWidth="1"/>
    <col min="5891" max="5891" width="6.28515625" style="158" customWidth="1"/>
    <col min="5892" max="5892" width="8" style="158" customWidth="1"/>
    <col min="5893" max="5896" width="9.140625" style="158"/>
    <col min="5897" max="5897" width="19" style="158" customWidth="1"/>
    <col min="5898" max="6145" width="9.140625" style="158"/>
    <col min="6146" max="6146" width="28.28515625" style="158" customWidth="1"/>
    <col min="6147" max="6147" width="6.28515625" style="158" customWidth="1"/>
    <col min="6148" max="6148" width="8" style="158" customWidth="1"/>
    <col min="6149" max="6152" width="9.140625" style="158"/>
    <col min="6153" max="6153" width="19" style="158" customWidth="1"/>
    <col min="6154" max="6401" width="9.140625" style="158"/>
    <col min="6402" max="6402" width="28.28515625" style="158" customWidth="1"/>
    <col min="6403" max="6403" width="6.28515625" style="158" customWidth="1"/>
    <col min="6404" max="6404" width="8" style="158" customWidth="1"/>
    <col min="6405" max="6408" width="9.140625" style="158"/>
    <col min="6409" max="6409" width="19" style="158" customWidth="1"/>
    <col min="6410" max="6657" width="9.140625" style="158"/>
    <col min="6658" max="6658" width="28.28515625" style="158" customWidth="1"/>
    <col min="6659" max="6659" width="6.28515625" style="158" customWidth="1"/>
    <col min="6660" max="6660" width="8" style="158" customWidth="1"/>
    <col min="6661" max="6664" width="9.140625" style="158"/>
    <col min="6665" max="6665" width="19" style="158" customWidth="1"/>
    <col min="6666" max="6913" width="9.140625" style="158"/>
    <col min="6914" max="6914" width="28.28515625" style="158" customWidth="1"/>
    <col min="6915" max="6915" width="6.28515625" style="158" customWidth="1"/>
    <col min="6916" max="6916" width="8" style="158" customWidth="1"/>
    <col min="6917" max="6920" width="9.140625" style="158"/>
    <col min="6921" max="6921" width="19" style="158" customWidth="1"/>
    <col min="6922" max="7169" width="9.140625" style="158"/>
    <col min="7170" max="7170" width="28.28515625" style="158" customWidth="1"/>
    <col min="7171" max="7171" width="6.28515625" style="158" customWidth="1"/>
    <col min="7172" max="7172" width="8" style="158" customWidth="1"/>
    <col min="7173" max="7176" width="9.140625" style="158"/>
    <col min="7177" max="7177" width="19" style="158" customWidth="1"/>
    <col min="7178" max="7425" width="9.140625" style="158"/>
    <col min="7426" max="7426" width="28.28515625" style="158" customWidth="1"/>
    <col min="7427" max="7427" width="6.28515625" style="158" customWidth="1"/>
    <col min="7428" max="7428" width="8" style="158" customWidth="1"/>
    <col min="7429" max="7432" width="9.140625" style="158"/>
    <col min="7433" max="7433" width="19" style="158" customWidth="1"/>
    <col min="7434" max="7681" width="9.140625" style="158"/>
    <col min="7682" max="7682" width="28.28515625" style="158" customWidth="1"/>
    <col min="7683" max="7683" width="6.28515625" style="158" customWidth="1"/>
    <col min="7684" max="7684" width="8" style="158" customWidth="1"/>
    <col min="7685" max="7688" width="9.140625" style="158"/>
    <col min="7689" max="7689" width="19" style="158" customWidth="1"/>
    <col min="7690" max="7937" width="9.140625" style="158"/>
    <col min="7938" max="7938" width="28.28515625" style="158" customWidth="1"/>
    <col min="7939" max="7939" width="6.28515625" style="158" customWidth="1"/>
    <col min="7940" max="7940" width="8" style="158" customWidth="1"/>
    <col min="7941" max="7944" width="9.140625" style="158"/>
    <col min="7945" max="7945" width="19" style="158" customWidth="1"/>
    <col min="7946" max="8193" width="9.140625" style="158"/>
    <col min="8194" max="8194" width="28.28515625" style="158" customWidth="1"/>
    <col min="8195" max="8195" width="6.28515625" style="158" customWidth="1"/>
    <col min="8196" max="8196" width="8" style="158" customWidth="1"/>
    <col min="8197" max="8200" width="9.140625" style="158"/>
    <col min="8201" max="8201" width="19" style="158" customWidth="1"/>
    <col min="8202" max="8449" width="9.140625" style="158"/>
    <col min="8450" max="8450" width="28.28515625" style="158" customWidth="1"/>
    <col min="8451" max="8451" width="6.28515625" style="158" customWidth="1"/>
    <col min="8452" max="8452" width="8" style="158" customWidth="1"/>
    <col min="8453" max="8456" width="9.140625" style="158"/>
    <col min="8457" max="8457" width="19" style="158" customWidth="1"/>
    <col min="8458" max="8705" width="9.140625" style="158"/>
    <col min="8706" max="8706" width="28.28515625" style="158" customWidth="1"/>
    <col min="8707" max="8707" width="6.28515625" style="158" customWidth="1"/>
    <col min="8708" max="8708" width="8" style="158" customWidth="1"/>
    <col min="8709" max="8712" width="9.140625" style="158"/>
    <col min="8713" max="8713" width="19" style="158" customWidth="1"/>
    <col min="8714" max="8961" width="9.140625" style="158"/>
    <col min="8962" max="8962" width="28.28515625" style="158" customWidth="1"/>
    <col min="8963" max="8963" width="6.28515625" style="158" customWidth="1"/>
    <col min="8964" max="8964" width="8" style="158" customWidth="1"/>
    <col min="8965" max="8968" width="9.140625" style="158"/>
    <col min="8969" max="8969" width="19" style="158" customWidth="1"/>
    <col min="8970" max="9217" width="9.140625" style="158"/>
    <col min="9218" max="9218" width="28.28515625" style="158" customWidth="1"/>
    <col min="9219" max="9219" width="6.28515625" style="158" customWidth="1"/>
    <col min="9220" max="9220" width="8" style="158" customWidth="1"/>
    <col min="9221" max="9224" width="9.140625" style="158"/>
    <col min="9225" max="9225" width="19" style="158" customWidth="1"/>
    <col min="9226" max="9473" width="9.140625" style="158"/>
    <col min="9474" max="9474" width="28.28515625" style="158" customWidth="1"/>
    <col min="9475" max="9475" width="6.28515625" style="158" customWidth="1"/>
    <col min="9476" max="9476" width="8" style="158" customWidth="1"/>
    <col min="9477" max="9480" width="9.140625" style="158"/>
    <col min="9481" max="9481" width="19" style="158" customWidth="1"/>
    <col min="9482" max="9729" width="9.140625" style="158"/>
    <col min="9730" max="9730" width="28.28515625" style="158" customWidth="1"/>
    <col min="9731" max="9731" width="6.28515625" style="158" customWidth="1"/>
    <col min="9732" max="9732" width="8" style="158" customWidth="1"/>
    <col min="9733" max="9736" width="9.140625" style="158"/>
    <col min="9737" max="9737" width="19" style="158" customWidth="1"/>
    <col min="9738" max="9985" width="9.140625" style="158"/>
    <col min="9986" max="9986" width="28.28515625" style="158" customWidth="1"/>
    <col min="9987" max="9987" width="6.28515625" style="158" customWidth="1"/>
    <col min="9988" max="9988" width="8" style="158" customWidth="1"/>
    <col min="9989" max="9992" width="9.140625" style="158"/>
    <col min="9993" max="9993" width="19" style="158" customWidth="1"/>
    <col min="9994" max="10241" width="9.140625" style="158"/>
    <col min="10242" max="10242" width="28.28515625" style="158" customWidth="1"/>
    <col min="10243" max="10243" width="6.28515625" style="158" customWidth="1"/>
    <col min="10244" max="10244" width="8" style="158" customWidth="1"/>
    <col min="10245" max="10248" width="9.140625" style="158"/>
    <col min="10249" max="10249" width="19" style="158" customWidth="1"/>
    <col min="10250" max="10497" width="9.140625" style="158"/>
    <col min="10498" max="10498" width="28.28515625" style="158" customWidth="1"/>
    <col min="10499" max="10499" width="6.28515625" style="158" customWidth="1"/>
    <col min="10500" max="10500" width="8" style="158" customWidth="1"/>
    <col min="10501" max="10504" width="9.140625" style="158"/>
    <col min="10505" max="10505" width="19" style="158" customWidth="1"/>
    <col min="10506" max="10753" width="9.140625" style="158"/>
    <col min="10754" max="10754" width="28.28515625" style="158" customWidth="1"/>
    <col min="10755" max="10755" width="6.28515625" style="158" customWidth="1"/>
    <col min="10756" max="10756" width="8" style="158" customWidth="1"/>
    <col min="10757" max="10760" width="9.140625" style="158"/>
    <col min="10761" max="10761" width="19" style="158" customWidth="1"/>
    <col min="10762" max="11009" width="9.140625" style="158"/>
    <col min="11010" max="11010" width="28.28515625" style="158" customWidth="1"/>
    <col min="11011" max="11011" width="6.28515625" style="158" customWidth="1"/>
    <col min="11012" max="11012" width="8" style="158" customWidth="1"/>
    <col min="11013" max="11016" width="9.140625" style="158"/>
    <col min="11017" max="11017" width="19" style="158" customWidth="1"/>
    <col min="11018" max="11265" width="9.140625" style="158"/>
    <col min="11266" max="11266" width="28.28515625" style="158" customWidth="1"/>
    <col min="11267" max="11267" width="6.28515625" style="158" customWidth="1"/>
    <col min="11268" max="11268" width="8" style="158" customWidth="1"/>
    <col min="11269" max="11272" width="9.140625" style="158"/>
    <col min="11273" max="11273" width="19" style="158" customWidth="1"/>
    <col min="11274" max="11521" width="9.140625" style="158"/>
    <col min="11522" max="11522" width="28.28515625" style="158" customWidth="1"/>
    <col min="11523" max="11523" width="6.28515625" style="158" customWidth="1"/>
    <col min="11524" max="11524" width="8" style="158" customWidth="1"/>
    <col min="11525" max="11528" width="9.140625" style="158"/>
    <col min="11529" max="11529" width="19" style="158" customWidth="1"/>
    <col min="11530" max="11777" width="9.140625" style="158"/>
    <col min="11778" max="11778" width="28.28515625" style="158" customWidth="1"/>
    <col min="11779" max="11779" width="6.28515625" style="158" customWidth="1"/>
    <col min="11780" max="11780" width="8" style="158" customWidth="1"/>
    <col min="11781" max="11784" width="9.140625" style="158"/>
    <col min="11785" max="11785" width="19" style="158" customWidth="1"/>
    <col min="11786" max="12033" width="9.140625" style="158"/>
    <col min="12034" max="12034" width="28.28515625" style="158" customWidth="1"/>
    <col min="12035" max="12035" width="6.28515625" style="158" customWidth="1"/>
    <col min="12036" max="12036" width="8" style="158" customWidth="1"/>
    <col min="12037" max="12040" width="9.140625" style="158"/>
    <col min="12041" max="12041" width="19" style="158" customWidth="1"/>
    <col min="12042" max="12289" width="9.140625" style="158"/>
    <col min="12290" max="12290" width="28.28515625" style="158" customWidth="1"/>
    <col min="12291" max="12291" width="6.28515625" style="158" customWidth="1"/>
    <col min="12292" max="12292" width="8" style="158" customWidth="1"/>
    <col min="12293" max="12296" width="9.140625" style="158"/>
    <col min="12297" max="12297" width="19" style="158" customWidth="1"/>
    <col min="12298" max="12545" width="9.140625" style="158"/>
    <col min="12546" max="12546" width="28.28515625" style="158" customWidth="1"/>
    <col min="12547" max="12547" width="6.28515625" style="158" customWidth="1"/>
    <col min="12548" max="12548" width="8" style="158" customWidth="1"/>
    <col min="12549" max="12552" width="9.140625" style="158"/>
    <col min="12553" max="12553" width="19" style="158" customWidth="1"/>
    <col min="12554" max="12801" width="9.140625" style="158"/>
    <col min="12802" max="12802" width="28.28515625" style="158" customWidth="1"/>
    <col min="12803" max="12803" width="6.28515625" style="158" customWidth="1"/>
    <col min="12804" max="12804" width="8" style="158" customWidth="1"/>
    <col min="12805" max="12808" width="9.140625" style="158"/>
    <col min="12809" max="12809" width="19" style="158" customWidth="1"/>
    <col min="12810" max="13057" width="9.140625" style="158"/>
    <col min="13058" max="13058" width="28.28515625" style="158" customWidth="1"/>
    <col min="13059" max="13059" width="6.28515625" style="158" customWidth="1"/>
    <col min="13060" max="13060" width="8" style="158" customWidth="1"/>
    <col min="13061" max="13064" width="9.140625" style="158"/>
    <col min="13065" max="13065" width="19" style="158" customWidth="1"/>
    <col min="13066" max="13313" width="9.140625" style="158"/>
    <col min="13314" max="13314" width="28.28515625" style="158" customWidth="1"/>
    <col min="13315" max="13315" width="6.28515625" style="158" customWidth="1"/>
    <col min="13316" max="13316" width="8" style="158" customWidth="1"/>
    <col min="13317" max="13320" width="9.140625" style="158"/>
    <col min="13321" max="13321" width="19" style="158" customWidth="1"/>
    <col min="13322" max="13569" width="9.140625" style="158"/>
    <col min="13570" max="13570" width="28.28515625" style="158" customWidth="1"/>
    <col min="13571" max="13571" width="6.28515625" style="158" customWidth="1"/>
    <col min="13572" max="13572" width="8" style="158" customWidth="1"/>
    <col min="13573" max="13576" width="9.140625" style="158"/>
    <col min="13577" max="13577" width="19" style="158" customWidth="1"/>
    <col min="13578" max="13825" width="9.140625" style="158"/>
    <col min="13826" max="13826" width="28.28515625" style="158" customWidth="1"/>
    <col min="13827" max="13827" width="6.28515625" style="158" customWidth="1"/>
    <col min="13828" max="13828" width="8" style="158" customWidth="1"/>
    <col min="13829" max="13832" width="9.140625" style="158"/>
    <col min="13833" max="13833" width="19" style="158" customWidth="1"/>
    <col min="13834" max="14081" width="9.140625" style="158"/>
    <col min="14082" max="14082" width="28.28515625" style="158" customWidth="1"/>
    <col min="14083" max="14083" width="6.28515625" style="158" customWidth="1"/>
    <col min="14084" max="14084" width="8" style="158" customWidth="1"/>
    <col min="14085" max="14088" width="9.140625" style="158"/>
    <col min="14089" max="14089" width="19" style="158" customWidth="1"/>
    <col min="14090" max="14337" width="9.140625" style="158"/>
    <col min="14338" max="14338" width="28.28515625" style="158" customWidth="1"/>
    <col min="14339" max="14339" width="6.28515625" style="158" customWidth="1"/>
    <col min="14340" max="14340" width="8" style="158" customWidth="1"/>
    <col min="14341" max="14344" width="9.140625" style="158"/>
    <col min="14345" max="14345" width="19" style="158" customWidth="1"/>
    <col min="14346" max="14593" width="9.140625" style="158"/>
    <col min="14594" max="14594" width="28.28515625" style="158" customWidth="1"/>
    <col min="14595" max="14595" width="6.28515625" style="158" customWidth="1"/>
    <col min="14596" max="14596" width="8" style="158" customWidth="1"/>
    <col min="14597" max="14600" width="9.140625" style="158"/>
    <col min="14601" max="14601" width="19" style="158" customWidth="1"/>
    <col min="14602" max="14849" width="9.140625" style="158"/>
    <col min="14850" max="14850" width="28.28515625" style="158" customWidth="1"/>
    <col min="14851" max="14851" width="6.28515625" style="158" customWidth="1"/>
    <col min="14852" max="14852" width="8" style="158" customWidth="1"/>
    <col min="14853" max="14856" width="9.140625" style="158"/>
    <col min="14857" max="14857" width="19" style="158" customWidth="1"/>
    <col min="14858" max="15105" width="9.140625" style="158"/>
    <col min="15106" max="15106" width="28.28515625" style="158" customWidth="1"/>
    <col min="15107" max="15107" width="6.28515625" style="158" customWidth="1"/>
    <col min="15108" max="15108" width="8" style="158" customWidth="1"/>
    <col min="15109" max="15112" width="9.140625" style="158"/>
    <col min="15113" max="15113" width="19" style="158" customWidth="1"/>
    <col min="15114" max="15361" width="9.140625" style="158"/>
    <col min="15362" max="15362" width="28.28515625" style="158" customWidth="1"/>
    <col min="15363" max="15363" width="6.28515625" style="158" customWidth="1"/>
    <col min="15364" max="15364" width="8" style="158" customWidth="1"/>
    <col min="15365" max="15368" width="9.140625" style="158"/>
    <col min="15369" max="15369" width="19" style="158" customWidth="1"/>
    <col min="15370" max="15617" width="9.140625" style="158"/>
    <col min="15618" max="15618" width="28.28515625" style="158" customWidth="1"/>
    <col min="15619" max="15619" width="6.28515625" style="158" customWidth="1"/>
    <col min="15620" max="15620" width="8" style="158" customWidth="1"/>
    <col min="15621" max="15624" width="9.140625" style="158"/>
    <col min="15625" max="15625" width="19" style="158" customWidth="1"/>
    <col min="15626" max="15873" width="9.140625" style="158"/>
    <col min="15874" max="15874" width="28.28515625" style="158" customWidth="1"/>
    <col min="15875" max="15875" width="6.28515625" style="158" customWidth="1"/>
    <col min="15876" max="15876" width="8" style="158" customWidth="1"/>
    <col min="15877" max="15880" width="9.140625" style="158"/>
    <col min="15881" max="15881" width="19" style="158" customWidth="1"/>
    <col min="15882" max="16129" width="9.140625" style="158"/>
    <col min="16130" max="16130" width="28.28515625" style="158" customWidth="1"/>
    <col min="16131" max="16131" width="6.28515625" style="158" customWidth="1"/>
    <col min="16132" max="16132" width="8" style="158" customWidth="1"/>
    <col min="16133" max="16136" width="9.140625" style="158"/>
    <col min="16137" max="16137" width="19" style="158" customWidth="1"/>
    <col min="16138" max="16384" width="9.140625" style="158"/>
  </cols>
  <sheetData>
    <row r="1" spans="1:9">
      <c r="A1" s="158" t="s">
        <v>245</v>
      </c>
      <c r="B1" s="158" t="s">
        <v>246</v>
      </c>
      <c r="C1" s="158" t="s">
        <v>253</v>
      </c>
      <c r="D1" s="158" t="s">
        <v>254</v>
      </c>
      <c r="E1" s="158" t="s">
        <v>255</v>
      </c>
      <c r="F1" s="158" t="s">
        <v>256</v>
      </c>
      <c r="G1" s="158" t="s">
        <v>257</v>
      </c>
      <c r="H1" s="158" t="s">
        <v>258</v>
      </c>
    </row>
    <row r="2" spans="1:9" ht="48">
      <c r="C2" s="199" t="s">
        <v>259</v>
      </c>
      <c r="D2" s="199" t="s">
        <v>260</v>
      </c>
      <c r="E2" s="199" t="s">
        <v>261</v>
      </c>
      <c r="F2" s="199" t="s">
        <v>262</v>
      </c>
      <c r="G2" s="199" t="s">
        <v>263</v>
      </c>
      <c r="H2" s="199" t="s">
        <v>264</v>
      </c>
    </row>
    <row r="3" spans="1:9">
      <c r="A3" s="200">
        <v>2019</v>
      </c>
      <c r="B3" s="201" t="s">
        <v>85</v>
      </c>
      <c r="C3" s="202">
        <v>0.6</v>
      </c>
      <c r="D3" s="202">
        <v>1.6</v>
      </c>
      <c r="E3" s="202">
        <v>1.5</v>
      </c>
      <c r="F3" s="202">
        <v>-1.5</v>
      </c>
      <c r="G3" s="202">
        <v>-1.5</v>
      </c>
      <c r="H3" s="202">
        <v>0.5</v>
      </c>
      <c r="I3" s="202"/>
    </row>
    <row r="4" spans="1:9" ht="25.5">
      <c r="A4" s="200">
        <v>2019</v>
      </c>
      <c r="B4" s="201" t="s">
        <v>265</v>
      </c>
      <c r="C4" s="202">
        <v>1.7</v>
      </c>
      <c r="D4" s="202">
        <v>1</v>
      </c>
      <c r="E4" s="202">
        <v>2.7</v>
      </c>
      <c r="F4" s="202">
        <v>-2.8</v>
      </c>
      <c r="G4" s="202">
        <v>-1.1000000000000001</v>
      </c>
      <c r="H4" s="202">
        <v>1.9</v>
      </c>
      <c r="I4" s="202"/>
    </row>
    <row r="5" spans="1:9" s="205" customFormat="1" ht="25.5">
      <c r="A5" s="203">
        <v>2019</v>
      </c>
      <c r="B5" s="204" t="s">
        <v>185</v>
      </c>
      <c r="C5" s="202">
        <v>2.2000000000000002</v>
      </c>
      <c r="D5" s="202">
        <v>2.4</v>
      </c>
      <c r="E5" s="202">
        <v>1.6</v>
      </c>
      <c r="F5" s="202">
        <v>-1.7</v>
      </c>
      <c r="G5" s="202">
        <v>-1.6</v>
      </c>
      <c r="H5" s="202">
        <v>1.4</v>
      </c>
      <c r="I5" s="202"/>
    </row>
    <row r="6" spans="1:9">
      <c r="A6" s="200">
        <v>2020</v>
      </c>
      <c r="B6" s="201" t="s">
        <v>85</v>
      </c>
      <c r="C6" s="202">
        <v>19.399999999999999</v>
      </c>
      <c r="D6" s="202">
        <v>9</v>
      </c>
      <c r="E6" s="202">
        <v>1.4</v>
      </c>
      <c r="F6" s="202">
        <v>-1.6</v>
      </c>
      <c r="G6" s="202">
        <v>4.9000000000000004</v>
      </c>
      <c r="H6" s="202">
        <v>5.7</v>
      </c>
      <c r="I6" s="202"/>
    </row>
    <row r="7" spans="1:9" ht="25.5">
      <c r="A7" s="200">
        <v>2020</v>
      </c>
      <c r="B7" s="201" t="s">
        <v>265</v>
      </c>
      <c r="C7" s="202">
        <v>10.1</v>
      </c>
      <c r="D7" s="202">
        <v>5.8</v>
      </c>
      <c r="E7" s="202">
        <v>2.8</v>
      </c>
      <c r="F7" s="202">
        <v>-3.1</v>
      </c>
      <c r="G7" s="202">
        <v>2.8</v>
      </c>
      <c r="H7" s="202">
        <v>1.8</v>
      </c>
      <c r="I7" s="202"/>
    </row>
    <row r="8" spans="1:9" s="205" customFormat="1" ht="25.5">
      <c r="A8" s="203">
        <v>2020</v>
      </c>
      <c r="B8" s="204" t="s">
        <v>185</v>
      </c>
      <c r="C8" s="202">
        <v>5.2</v>
      </c>
      <c r="D8" s="202">
        <v>3.3</v>
      </c>
      <c r="E8" s="202">
        <v>1.8</v>
      </c>
      <c r="F8" s="202">
        <v>-1.7</v>
      </c>
      <c r="G8" s="202">
        <v>0</v>
      </c>
      <c r="H8" s="202">
        <v>1.7</v>
      </c>
      <c r="I8" s="202"/>
    </row>
    <row r="9" spans="1:9">
      <c r="A9" s="200">
        <v>2021</v>
      </c>
      <c r="B9" s="201" t="s">
        <v>85</v>
      </c>
      <c r="C9" s="202">
        <v>-3.8</v>
      </c>
      <c r="D9" s="202">
        <v>6.2</v>
      </c>
      <c r="E9" s="202">
        <v>1.5</v>
      </c>
      <c r="F9" s="202">
        <v>-3.2</v>
      </c>
      <c r="G9" s="202">
        <v>-6</v>
      </c>
      <c r="H9" s="202">
        <v>-2.2999999999999998</v>
      </c>
      <c r="I9" s="202"/>
    </row>
    <row r="10" spans="1:9" ht="25.5">
      <c r="A10" s="200">
        <v>2021</v>
      </c>
      <c r="B10" s="201" t="s">
        <v>265</v>
      </c>
      <c r="C10" s="202">
        <v>-3.1</v>
      </c>
      <c r="D10" s="202">
        <v>2.1</v>
      </c>
      <c r="E10" s="202">
        <v>2.8</v>
      </c>
      <c r="F10" s="202">
        <v>-6.2</v>
      </c>
      <c r="G10" s="202">
        <v>-4</v>
      </c>
      <c r="H10" s="202">
        <v>2.2000000000000002</v>
      </c>
      <c r="I10" s="202"/>
    </row>
    <row r="11" spans="1:9" s="205" customFormat="1" ht="25.5">
      <c r="A11" s="203">
        <v>2021</v>
      </c>
      <c r="B11" s="204" t="s">
        <v>185</v>
      </c>
      <c r="C11" s="202">
        <v>2.2999999999999998</v>
      </c>
      <c r="D11" s="202">
        <v>3</v>
      </c>
      <c r="E11" s="202">
        <v>2</v>
      </c>
      <c r="F11" s="202">
        <v>-2.6</v>
      </c>
      <c r="G11" s="202">
        <v>-1.7</v>
      </c>
      <c r="H11" s="202">
        <v>1.6</v>
      </c>
      <c r="I11" s="202"/>
    </row>
    <row r="12" spans="1:9">
      <c r="A12" s="200">
        <v>2022</v>
      </c>
      <c r="B12" s="201" t="s">
        <v>85</v>
      </c>
      <c r="C12" s="202">
        <v>-3.5</v>
      </c>
      <c r="D12" s="202">
        <v>2.8</v>
      </c>
      <c r="E12" s="202">
        <v>1.5</v>
      </c>
      <c r="F12" s="202">
        <v>-5.6</v>
      </c>
      <c r="G12" s="202">
        <v>-2.8</v>
      </c>
      <c r="H12" s="202">
        <v>0.6</v>
      </c>
      <c r="I12" s="202"/>
    </row>
    <row r="13" spans="1:9" ht="25.5">
      <c r="A13" s="200">
        <v>2022</v>
      </c>
      <c r="B13" s="201" t="s">
        <v>265</v>
      </c>
      <c r="C13" s="202">
        <v>-2.1</v>
      </c>
      <c r="D13" s="202">
        <v>1.4</v>
      </c>
      <c r="E13" s="202">
        <v>2.9</v>
      </c>
      <c r="F13" s="202">
        <v>-6.9</v>
      </c>
      <c r="G13" s="202">
        <v>-2.5</v>
      </c>
      <c r="H13" s="202">
        <v>3.1</v>
      </c>
      <c r="I13" s="202"/>
    </row>
    <row r="14" spans="1:9" ht="25.5">
      <c r="A14" s="200">
        <v>2022</v>
      </c>
      <c r="B14" s="204" t="s">
        <v>185</v>
      </c>
      <c r="C14" s="202">
        <v>1.7</v>
      </c>
      <c r="D14" s="202">
        <v>2.4</v>
      </c>
      <c r="E14" s="202">
        <v>2.1</v>
      </c>
      <c r="F14" s="202">
        <v>-3.5</v>
      </c>
      <c r="G14" s="202">
        <v>-2</v>
      </c>
      <c r="H14" s="202">
        <v>2.6</v>
      </c>
      <c r="I14" s="202"/>
    </row>
    <row r="16" spans="1:9" s="166" customFormat="1">
      <c r="I16" s="158"/>
    </row>
    <row r="17" spans="9:9" s="166" customFormat="1">
      <c r="I17" s="158"/>
    </row>
    <row r="18" spans="9:9" s="166" customFormat="1">
      <c r="I18" s="158"/>
    </row>
    <row r="19" spans="9:9" s="166" customFormat="1">
      <c r="I19" s="158"/>
    </row>
    <row r="20" spans="9:9" s="166" customFormat="1">
      <c r="I20" s="158"/>
    </row>
    <row r="21" spans="9:9" s="166" customFormat="1">
      <c r="I21" s="158"/>
    </row>
    <row r="22" spans="9:9" s="166" customFormat="1">
      <c r="I22" s="158"/>
    </row>
    <row r="23" spans="9:9" s="166" customFormat="1">
      <c r="I23" s="158"/>
    </row>
    <row r="24" spans="9:9" s="166" customFormat="1">
      <c r="I24" s="158"/>
    </row>
    <row r="25" spans="9:9" s="166" customFormat="1">
      <c r="I25" s="158"/>
    </row>
    <row r="26" spans="9:9" s="166" customFormat="1">
      <c r="I26" s="158"/>
    </row>
    <row r="27" spans="9:9" s="166" customFormat="1">
      <c r="I27" s="158"/>
    </row>
    <row r="28" spans="9:9" s="166" customFormat="1">
      <c r="I28" s="158"/>
    </row>
    <row r="29" spans="9:9" s="166" customFormat="1">
      <c r="I29" s="158"/>
    </row>
    <row r="30" spans="9:9" s="166" customFormat="1">
      <c r="I30" s="158"/>
    </row>
    <row r="31" spans="9:9" s="166" customFormat="1">
      <c r="I31" s="158"/>
    </row>
    <row r="32" spans="9:9" s="166" customFormat="1">
      <c r="I32" s="158"/>
    </row>
    <row r="33" spans="9:9" s="166" customFormat="1">
      <c r="I33" s="158"/>
    </row>
    <row r="34" spans="9:9" s="166" customFormat="1">
      <c r="I34" s="158"/>
    </row>
    <row r="35" spans="9:9" s="166" customFormat="1">
      <c r="I35" s="158"/>
    </row>
    <row r="36" spans="9:9" s="166" customFormat="1">
      <c r="I36" s="158"/>
    </row>
    <row r="37" spans="9:9" s="166" customFormat="1">
      <c r="I37" s="158"/>
    </row>
    <row r="38" spans="9:9" s="166" customFormat="1">
      <c r="I38" s="158"/>
    </row>
    <row r="39" spans="9:9" s="166" customFormat="1">
      <c r="I39" s="158"/>
    </row>
    <row r="40" spans="9:9" s="166" customFormat="1">
      <c r="I40" s="158"/>
    </row>
    <row r="41" spans="9:9" s="166" customFormat="1">
      <c r="I41" s="158"/>
    </row>
    <row r="42" spans="9:9" s="166" customFormat="1">
      <c r="I42" s="158"/>
    </row>
    <row r="43" spans="9:9" s="166" customFormat="1">
      <c r="I43" s="158"/>
    </row>
    <row r="44" spans="9:9" s="166" customFormat="1">
      <c r="I44" s="158"/>
    </row>
    <row r="45" spans="9:9" s="166" customFormat="1">
      <c r="I45" s="158"/>
    </row>
    <row r="46" spans="9:9" s="166" customFormat="1">
      <c r="I46" s="158"/>
    </row>
    <row r="47" spans="9:9" s="166" customFormat="1">
      <c r="I47" s="158"/>
    </row>
    <row r="48" spans="9:9" s="166" customFormat="1">
      <c r="I48" s="158"/>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A4BF-9FC5-46AE-BD57-73CDD96C8182}">
  <dimension ref="A1:J45"/>
  <sheetViews>
    <sheetView zoomScale="90" zoomScaleNormal="90" workbookViewId="0">
      <selection activeCell="B88" sqref="B88:K88"/>
    </sheetView>
  </sheetViews>
  <sheetFormatPr defaultRowHeight="12.75"/>
  <cols>
    <col min="1" max="2" width="9.140625" style="158"/>
    <col min="3" max="3" width="10.140625" style="158" customWidth="1"/>
    <col min="4" max="5" width="9.140625" style="158"/>
    <col min="6" max="6" width="12.85546875" style="158" customWidth="1"/>
    <col min="7" max="7" width="11.42578125" style="158" customWidth="1"/>
    <col min="8" max="8" width="10.7109375" style="158" customWidth="1"/>
    <col min="9" max="9" width="15.85546875" style="158" bestFit="1" customWidth="1"/>
    <col min="10" max="264" width="9.140625" style="158"/>
    <col min="265" max="265" width="15.85546875" style="158" bestFit="1" customWidth="1"/>
    <col min="266" max="520" width="9.140625" style="158"/>
    <col min="521" max="521" width="15.85546875" style="158" bestFit="1" customWidth="1"/>
    <col min="522" max="776" width="9.140625" style="158"/>
    <col min="777" max="777" width="15.85546875" style="158" bestFit="1" customWidth="1"/>
    <col min="778" max="1032" width="9.140625" style="158"/>
    <col min="1033" max="1033" width="15.85546875" style="158" bestFit="1" customWidth="1"/>
    <col min="1034" max="1288" width="9.140625" style="158"/>
    <col min="1289" max="1289" width="15.85546875" style="158" bestFit="1" customWidth="1"/>
    <col min="1290" max="1544" width="9.140625" style="158"/>
    <col min="1545" max="1545" width="15.85546875" style="158" bestFit="1" customWidth="1"/>
    <col min="1546" max="1800" width="9.140625" style="158"/>
    <col min="1801" max="1801" width="15.85546875" style="158" bestFit="1" customWidth="1"/>
    <col min="1802" max="2056" width="9.140625" style="158"/>
    <col min="2057" max="2057" width="15.85546875" style="158" bestFit="1" customWidth="1"/>
    <col min="2058" max="2312" width="9.140625" style="158"/>
    <col min="2313" max="2313" width="15.85546875" style="158" bestFit="1" customWidth="1"/>
    <col min="2314" max="2568" width="9.140625" style="158"/>
    <col min="2569" max="2569" width="15.85546875" style="158" bestFit="1" customWidth="1"/>
    <col min="2570" max="2824" width="9.140625" style="158"/>
    <col min="2825" max="2825" width="15.85546875" style="158" bestFit="1" customWidth="1"/>
    <col min="2826" max="3080" width="9.140625" style="158"/>
    <col min="3081" max="3081" width="15.85546875" style="158" bestFit="1" customWidth="1"/>
    <col min="3082" max="3336" width="9.140625" style="158"/>
    <col min="3337" max="3337" width="15.85546875" style="158" bestFit="1" customWidth="1"/>
    <col min="3338" max="3592" width="9.140625" style="158"/>
    <col min="3593" max="3593" width="15.85546875" style="158" bestFit="1" customWidth="1"/>
    <col min="3594" max="3848" width="9.140625" style="158"/>
    <col min="3849" max="3849" width="15.85546875" style="158" bestFit="1" customWidth="1"/>
    <col min="3850" max="4104" width="9.140625" style="158"/>
    <col min="4105" max="4105" width="15.85546875" style="158" bestFit="1" customWidth="1"/>
    <col min="4106" max="4360" width="9.140625" style="158"/>
    <col min="4361" max="4361" width="15.85546875" style="158" bestFit="1" customWidth="1"/>
    <col min="4362" max="4616" width="9.140625" style="158"/>
    <col min="4617" max="4617" width="15.85546875" style="158" bestFit="1" customWidth="1"/>
    <col min="4618" max="4872" width="9.140625" style="158"/>
    <col min="4873" max="4873" width="15.85546875" style="158" bestFit="1" customWidth="1"/>
    <col min="4874" max="5128" width="9.140625" style="158"/>
    <col min="5129" max="5129" width="15.85546875" style="158" bestFit="1" customWidth="1"/>
    <col min="5130" max="5384" width="9.140625" style="158"/>
    <col min="5385" max="5385" width="15.85546875" style="158" bestFit="1" customWidth="1"/>
    <col min="5386" max="5640" width="9.140625" style="158"/>
    <col min="5641" max="5641" width="15.85546875" style="158" bestFit="1" customWidth="1"/>
    <col min="5642" max="5896" width="9.140625" style="158"/>
    <col min="5897" max="5897" width="15.85546875" style="158" bestFit="1" customWidth="1"/>
    <col min="5898" max="6152" width="9.140625" style="158"/>
    <col min="6153" max="6153" width="15.85546875" style="158" bestFit="1" customWidth="1"/>
    <col min="6154" max="6408" width="9.140625" style="158"/>
    <col min="6409" max="6409" width="15.85546875" style="158" bestFit="1" customWidth="1"/>
    <col min="6410" max="6664" width="9.140625" style="158"/>
    <col min="6665" max="6665" width="15.85546875" style="158" bestFit="1" customWidth="1"/>
    <col min="6666" max="6920" width="9.140625" style="158"/>
    <col min="6921" max="6921" width="15.85546875" style="158" bestFit="1" customWidth="1"/>
    <col min="6922" max="7176" width="9.140625" style="158"/>
    <col min="7177" max="7177" width="15.85546875" style="158" bestFit="1" customWidth="1"/>
    <col min="7178" max="7432" width="9.140625" style="158"/>
    <col min="7433" max="7433" width="15.85546875" style="158" bestFit="1" customWidth="1"/>
    <col min="7434" max="7688" width="9.140625" style="158"/>
    <col min="7689" max="7689" width="15.85546875" style="158" bestFit="1" customWidth="1"/>
    <col min="7690" max="7944" width="9.140625" style="158"/>
    <col min="7945" max="7945" width="15.85546875" style="158" bestFit="1" customWidth="1"/>
    <col min="7946" max="8200" width="9.140625" style="158"/>
    <col min="8201" max="8201" width="15.85546875" style="158" bestFit="1" customWidth="1"/>
    <col min="8202" max="8456" width="9.140625" style="158"/>
    <col min="8457" max="8457" width="15.85546875" style="158" bestFit="1" customWidth="1"/>
    <col min="8458" max="8712" width="9.140625" style="158"/>
    <col min="8713" max="8713" width="15.85546875" style="158" bestFit="1" customWidth="1"/>
    <col min="8714" max="8968" width="9.140625" style="158"/>
    <col min="8969" max="8969" width="15.85546875" style="158" bestFit="1" customWidth="1"/>
    <col min="8970" max="9224" width="9.140625" style="158"/>
    <col min="9225" max="9225" width="15.85546875" style="158" bestFit="1" customWidth="1"/>
    <col min="9226" max="9480" width="9.140625" style="158"/>
    <col min="9481" max="9481" width="15.85546875" style="158" bestFit="1" customWidth="1"/>
    <col min="9482" max="9736" width="9.140625" style="158"/>
    <col min="9737" max="9737" width="15.85546875" style="158" bestFit="1" customWidth="1"/>
    <col min="9738" max="9992" width="9.140625" style="158"/>
    <col min="9993" max="9993" width="15.85546875" style="158" bestFit="1" customWidth="1"/>
    <col min="9994" max="10248" width="9.140625" style="158"/>
    <col min="10249" max="10249" width="15.85546875" style="158" bestFit="1" customWidth="1"/>
    <col min="10250" max="10504" width="9.140625" style="158"/>
    <col min="10505" max="10505" width="15.85546875" style="158" bestFit="1" customWidth="1"/>
    <col min="10506" max="10760" width="9.140625" style="158"/>
    <col min="10761" max="10761" width="15.85546875" style="158" bestFit="1" customWidth="1"/>
    <col min="10762" max="11016" width="9.140625" style="158"/>
    <col min="11017" max="11017" width="15.85546875" style="158" bestFit="1" customWidth="1"/>
    <col min="11018" max="11272" width="9.140625" style="158"/>
    <col min="11273" max="11273" width="15.85546875" style="158" bestFit="1" customWidth="1"/>
    <col min="11274" max="11528" width="9.140625" style="158"/>
    <col min="11529" max="11529" width="15.85546875" style="158" bestFit="1" customWidth="1"/>
    <col min="11530" max="11784" width="9.140625" style="158"/>
    <col min="11785" max="11785" width="15.85546875" style="158" bestFit="1" customWidth="1"/>
    <col min="11786" max="12040" width="9.140625" style="158"/>
    <col min="12041" max="12041" width="15.85546875" style="158" bestFit="1" customWidth="1"/>
    <col min="12042" max="12296" width="9.140625" style="158"/>
    <col min="12297" max="12297" width="15.85546875" style="158" bestFit="1" customWidth="1"/>
    <col min="12298" max="12552" width="9.140625" style="158"/>
    <col min="12553" max="12553" width="15.85546875" style="158" bestFit="1" customWidth="1"/>
    <col min="12554" max="12808" width="9.140625" style="158"/>
    <col min="12809" max="12809" width="15.85546875" style="158" bestFit="1" customWidth="1"/>
    <col min="12810" max="13064" width="9.140625" style="158"/>
    <col min="13065" max="13065" width="15.85546875" style="158" bestFit="1" customWidth="1"/>
    <col min="13066" max="13320" width="9.140625" style="158"/>
    <col min="13321" max="13321" width="15.85546875" style="158" bestFit="1" customWidth="1"/>
    <col min="13322" max="13576" width="9.140625" style="158"/>
    <col min="13577" max="13577" width="15.85546875" style="158" bestFit="1" customWidth="1"/>
    <col min="13578" max="13832" width="9.140625" style="158"/>
    <col min="13833" max="13833" width="15.85546875" style="158" bestFit="1" customWidth="1"/>
    <col min="13834" max="14088" width="9.140625" style="158"/>
    <col min="14089" max="14089" width="15.85546875" style="158" bestFit="1" customWidth="1"/>
    <col min="14090" max="14344" width="9.140625" style="158"/>
    <col min="14345" max="14345" width="15.85546875" style="158" bestFit="1" customWidth="1"/>
    <col min="14346" max="14600" width="9.140625" style="158"/>
    <col min="14601" max="14601" width="15.85546875" style="158" bestFit="1" customWidth="1"/>
    <col min="14602" max="14856" width="9.140625" style="158"/>
    <col min="14857" max="14857" width="15.85546875" style="158" bestFit="1" customWidth="1"/>
    <col min="14858" max="15112" width="9.140625" style="158"/>
    <col min="15113" max="15113" width="15.85546875" style="158" bestFit="1" customWidth="1"/>
    <col min="15114" max="15368" width="9.140625" style="158"/>
    <col min="15369" max="15369" width="15.85546875" style="158" bestFit="1" customWidth="1"/>
    <col min="15370" max="15624" width="9.140625" style="158"/>
    <col min="15625" max="15625" width="15.85546875" style="158" bestFit="1" customWidth="1"/>
    <col min="15626" max="15880" width="9.140625" style="158"/>
    <col min="15881" max="15881" width="15.85546875" style="158" bestFit="1" customWidth="1"/>
    <col min="15882" max="16136" width="9.140625" style="158"/>
    <col min="16137" max="16137" width="15.85546875" style="158" bestFit="1" customWidth="1"/>
    <col min="16138" max="16384" width="9.140625" style="158"/>
  </cols>
  <sheetData>
    <row r="1" spans="1:10">
      <c r="A1" s="158" t="s">
        <v>245</v>
      </c>
      <c r="B1" s="158" t="s">
        <v>266</v>
      </c>
      <c r="C1" s="158" t="s">
        <v>253</v>
      </c>
      <c r="D1" s="158" t="s">
        <v>254</v>
      </c>
      <c r="E1" s="158" t="s">
        <v>255</v>
      </c>
      <c r="F1" s="158" t="s">
        <v>256</v>
      </c>
      <c r="G1" s="158" t="s">
        <v>257</v>
      </c>
      <c r="H1" s="158" t="s">
        <v>267</v>
      </c>
      <c r="I1" s="158" t="s">
        <v>268</v>
      </c>
    </row>
    <row r="2" spans="1:10" ht="36" customHeight="1">
      <c r="C2" s="199" t="s">
        <v>259</v>
      </c>
      <c r="D2" s="199" t="s">
        <v>260</v>
      </c>
      <c r="E2" s="199" t="s">
        <v>261</v>
      </c>
      <c r="F2" s="199" t="s">
        <v>262</v>
      </c>
      <c r="G2" s="199" t="s">
        <v>263</v>
      </c>
      <c r="H2" s="199" t="s">
        <v>269</v>
      </c>
      <c r="I2" s="199" t="s">
        <v>264</v>
      </c>
    </row>
    <row r="3" spans="1:10">
      <c r="A3" s="158">
        <v>2022</v>
      </c>
      <c r="B3" s="158" t="s">
        <v>270</v>
      </c>
      <c r="C3" s="206">
        <v>5.2611312866210938</v>
      </c>
      <c r="D3" s="206">
        <v>6.6121077537536621</v>
      </c>
      <c r="E3" s="206">
        <v>0.93143022060394287</v>
      </c>
      <c r="F3" s="206">
        <v>-2.2831535339355469</v>
      </c>
      <c r="G3" s="206">
        <v>-2.0839920043945313</v>
      </c>
      <c r="H3" s="206">
        <v>2.3832397535443306E-2</v>
      </c>
      <c r="I3" s="206">
        <v>2.0609064102172852</v>
      </c>
      <c r="J3" s="202"/>
    </row>
    <row r="4" spans="1:10">
      <c r="A4" s="200">
        <v>2022</v>
      </c>
      <c r="B4" s="158" t="s">
        <v>212</v>
      </c>
      <c r="C4" s="206">
        <v>2.037322998046875</v>
      </c>
      <c r="D4" s="206">
        <v>-6.356850266456604E-2</v>
      </c>
      <c r="E4" s="206">
        <v>4.5487985610961914</v>
      </c>
      <c r="F4" s="206">
        <v>-3.2522292137145996</v>
      </c>
      <c r="G4" s="206">
        <v>-1.3805491924285889</v>
      </c>
      <c r="H4" s="206">
        <v>0.52721196413040161</v>
      </c>
      <c r="I4" s="206">
        <v>1.6576594114303589</v>
      </c>
      <c r="J4" s="202"/>
    </row>
    <row r="5" spans="1:10">
      <c r="A5" s="200">
        <v>2022</v>
      </c>
      <c r="B5" s="158" t="s">
        <v>271</v>
      </c>
      <c r="C5" s="206">
        <v>1.8129348754882813</v>
      </c>
      <c r="D5" s="206">
        <v>3.8811964988708496</v>
      </c>
      <c r="E5" s="206">
        <v>2.2473993301391602</v>
      </c>
      <c r="F5" s="206">
        <v>-4.3015084266662598</v>
      </c>
      <c r="G5" s="206">
        <v>-3.2900295257568359</v>
      </c>
      <c r="H5" s="206">
        <v>3.4533987045288086</v>
      </c>
      <c r="I5" s="206">
        <v>-0.17752170562744141</v>
      </c>
      <c r="J5" s="202"/>
    </row>
    <row r="6" spans="1:10">
      <c r="A6" s="200">
        <v>2022</v>
      </c>
      <c r="B6" s="158" t="s">
        <v>272</v>
      </c>
      <c r="C6" s="206">
        <v>1.6735343933105469</v>
      </c>
      <c r="D6" s="206">
        <v>-0.94105434417724609</v>
      </c>
      <c r="E6" s="206">
        <v>-0.39303076267242432</v>
      </c>
      <c r="F6" s="206">
        <v>-2.2073128223419189</v>
      </c>
      <c r="G6" s="206">
        <v>-0.86484134197235107</v>
      </c>
      <c r="H6" s="206">
        <v>0.12135307490825653</v>
      </c>
      <c r="I6" s="206">
        <v>5.9584207534790039</v>
      </c>
      <c r="J6" s="202"/>
    </row>
    <row r="7" spans="1:10">
      <c r="A7" s="200">
        <v>2022</v>
      </c>
      <c r="B7" s="158" t="s">
        <v>216</v>
      </c>
      <c r="C7" s="206">
        <v>-1.5141525268554688</v>
      </c>
      <c r="D7" s="206">
        <v>3.0106325149536133</v>
      </c>
      <c r="E7" s="206">
        <v>1.8409682512283325</v>
      </c>
      <c r="F7" s="206">
        <v>-3.2289807796478271</v>
      </c>
      <c r="G7" s="206">
        <v>-2.8594880104064941</v>
      </c>
      <c r="H7" s="206">
        <v>0.21320316195487976</v>
      </c>
      <c r="I7" s="206">
        <v>-0.49048766493797302</v>
      </c>
      <c r="J7" s="202"/>
    </row>
    <row r="8" spans="1:10">
      <c r="A8" s="200">
        <v>2022</v>
      </c>
      <c r="B8" s="158" t="s">
        <v>218</v>
      </c>
      <c r="C8" s="206">
        <v>-1.5580596923828125</v>
      </c>
      <c r="D8" s="206">
        <v>4.4187078475952148</v>
      </c>
      <c r="E8" s="206">
        <v>5.1760039329528809</v>
      </c>
      <c r="F8" s="206">
        <v>-6.2667851448059082</v>
      </c>
      <c r="G8" s="206">
        <v>-5.4146051406860352</v>
      </c>
      <c r="H8" s="206">
        <v>0.26509460806846619</v>
      </c>
      <c r="I8" s="206">
        <v>0.26352420449256897</v>
      </c>
      <c r="J8" s="202"/>
    </row>
    <row r="9" spans="1:10">
      <c r="A9" s="200">
        <v>2022</v>
      </c>
      <c r="B9" s="158" t="s">
        <v>207</v>
      </c>
      <c r="C9" s="206">
        <v>-2.6434173583984375</v>
      </c>
      <c r="D9" s="206">
        <v>5.854976549744606E-2</v>
      </c>
      <c r="E9" s="206">
        <v>4.3716073036193848</v>
      </c>
      <c r="F9" s="206">
        <v>-3.735166072845459</v>
      </c>
      <c r="G9" s="206">
        <v>-1.7452963590621948</v>
      </c>
      <c r="H9" s="206">
        <v>-0.88412994146347046</v>
      </c>
      <c r="I9" s="206">
        <v>-0.70898205041885376</v>
      </c>
      <c r="J9" s="202"/>
    </row>
    <row r="10" spans="1:10">
      <c r="A10" s="200">
        <v>2022</v>
      </c>
      <c r="B10" s="158" t="s">
        <v>209</v>
      </c>
      <c r="C10" s="206">
        <v>-4.8158798217773438</v>
      </c>
      <c r="D10" s="206">
        <v>-1.3395024538040161</v>
      </c>
      <c r="E10" s="206">
        <v>5.9143514633178711</v>
      </c>
      <c r="F10" s="206">
        <v>-6.7441558837890625</v>
      </c>
      <c r="G10" s="206">
        <v>-2.5572926998138428</v>
      </c>
      <c r="H10" s="206">
        <v>-0.27965599298477173</v>
      </c>
      <c r="I10" s="206">
        <v>0.19037574529647827</v>
      </c>
      <c r="J10" s="202"/>
    </row>
    <row r="11" spans="1:10">
      <c r="A11" s="200">
        <v>2022</v>
      </c>
      <c r="B11" s="158" t="s">
        <v>273</v>
      </c>
      <c r="C11" s="206">
        <v>-10.625324249267578</v>
      </c>
      <c r="D11" s="206">
        <v>0.38929033279418945</v>
      </c>
      <c r="E11" s="206">
        <v>1.2460479736328125</v>
      </c>
      <c r="F11" s="206">
        <v>-19.406620025634766</v>
      </c>
      <c r="G11" s="206">
        <v>-2.2040464878082275</v>
      </c>
      <c r="H11" s="206">
        <v>6.4661736488342285</v>
      </c>
      <c r="I11" s="206">
        <v>2.8838303089141846</v>
      </c>
      <c r="J11" s="202"/>
    </row>
    <row r="12" spans="1:10">
      <c r="A12" s="200">
        <v>2022</v>
      </c>
      <c r="B12" s="158" t="s">
        <v>274</v>
      </c>
      <c r="C12" s="206">
        <v>-23.278182983398438</v>
      </c>
      <c r="D12" s="206">
        <v>1.4740411043167114</v>
      </c>
      <c r="E12" s="206">
        <v>2.5252656936645508</v>
      </c>
      <c r="F12" s="206">
        <v>-14.220316886901855</v>
      </c>
      <c r="G12" s="206">
        <v>-11.206803321838379</v>
      </c>
      <c r="H12" s="206">
        <v>0</v>
      </c>
      <c r="I12" s="206">
        <v>-1.8503695726394653</v>
      </c>
      <c r="J12" s="202"/>
    </row>
    <row r="13" spans="1:10">
      <c r="A13" s="166"/>
      <c r="B13" s="166"/>
      <c r="C13" s="166"/>
      <c r="D13" s="166"/>
      <c r="E13" s="166"/>
      <c r="F13" s="166"/>
      <c r="G13" s="166"/>
      <c r="H13" s="166"/>
      <c r="I13" s="166"/>
      <c r="J13" s="202"/>
    </row>
    <row r="14" spans="1:10">
      <c r="A14" s="166"/>
      <c r="B14" s="166"/>
      <c r="C14" s="166"/>
      <c r="D14" s="166"/>
      <c r="E14" s="166"/>
      <c r="F14" s="166"/>
      <c r="G14" s="166"/>
      <c r="H14" s="166"/>
      <c r="I14" s="166"/>
    </row>
    <row r="15" spans="1:10">
      <c r="A15" s="166"/>
      <c r="B15" s="166"/>
      <c r="C15" s="166"/>
      <c r="D15" s="166"/>
      <c r="E15" s="166"/>
      <c r="F15" s="166"/>
      <c r="G15" s="166"/>
      <c r="H15" s="166"/>
      <c r="I15" s="166"/>
    </row>
    <row r="16" spans="1:10">
      <c r="A16" s="166"/>
      <c r="B16" s="166"/>
      <c r="C16" s="166"/>
      <c r="D16" s="166"/>
      <c r="E16" s="166"/>
      <c r="F16" s="166"/>
      <c r="G16" s="166"/>
      <c r="H16" s="166"/>
      <c r="I16" s="166"/>
    </row>
    <row r="17" spans="1:9">
      <c r="A17" s="166"/>
      <c r="B17" s="166"/>
      <c r="C17" s="166"/>
      <c r="D17" s="166"/>
      <c r="E17" s="166"/>
      <c r="F17" s="166"/>
      <c r="G17" s="166"/>
      <c r="H17" s="166"/>
      <c r="I17" s="166"/>
    </row>
    <row r="18" spans="1:9">
      <c r="A18" s="166"/>
      <c r="B18" s="166"/>
      <c r="C18" s="166"/>
      <c r="D18" s="166"/>
      <c r="E18" s="166"/>
      <c r="F18" s="166"/>
      <c r="G18" s="166"/>
      <c r="H18" s="166"/>
      <c r="I18" s="166"/>
    </row>
    <row r="19" spans="1:9">
      <c r="A19" s="166"/>
      <c r="B19" s="166"/>
      <c r="C19" s="166"/>
      <c r="D19" s="166"/>
      <c r="E19" s="166"/>
      <c r="F19" s="166"/>
      <c r="G19" s="166"/>
      <c r="H19" s="166"/>
      <c r="I19" s="166"/>
    </row>
    <row r="20" spans="1:9">
      <c r="A20" s="166"/>
      <c r="B20" s="166"/>
      <c r="C20" s="166"/>
      <c r="D20" s="166"/>
      <c r="E20" s="166"/>
      <c r="F20" s="166"/>
      <c r="G20" s="166"/>
      <c r="H20" s="166"/>
      <c r="I20" s="166"/>
    </row>
    <row r="21" spans="1:9">
      <c r="A21" s="166"/>
      <c r="B21" s="166"/>
      <c r="C21" s="166"/>
      <c r="D21" s="166"/>
      <c r="E21" s="166"/>
      <c r="F21" s="166"/>
      <c r="G21" s="166"/>
      <c r="H21" s="166"/>
      <c r="I21" s="166"/>
    </row>
    <row r="22" spans="1:9">
      <c r="A22" s="166"/>
      <c r="B22" s="166"/>
      <c r="C22" s="166"/>
      <c r="D22" s="166"/>
      <c r="E22" s="166"/>
      <c r="F22" s="166"/>
      <c r="G22" s="166"/>
      <c r="H22" s="166"/>
      <c r="I22" s="166"/>
    </row>
    <row r="23" spans="1:9">
      <c r="A23" s="166"/>
      <c r="B23" s="166"/>
      <c r="C23" s="166"/>
      <c r="D23" s="166"/>
      <c r="E23" s="166"/>
      <c r="F23" s="166"/>
      <c r="G23" s="166"/>
      <c r="H23" s="166"/>
      <c r="I23" s="166"/>
    </row>
    <row r="24" spans="1:9">
      <c r="A24" s="166"/>
      <c r="B24" s="166"/>
      <c r="C24" s="166"/>
      <c r="D24" s="166"/>
      <c r="E24" s="166"/>
      <c r="F24" s="166"/>
      <c r="G24" s="166"/>
      <c r="H24" s="166"/>
      <c r="I24" s="166"/>
    </row>
    <row r="25" spans="1:9">
      <c r="A25" s="166"/>
      <c r="B25" s="166"/>
      <c r="C25" s="166"/>
      <c r="D25" s="166"/>
      <c r="E25" s="166"/>
      <c r="F25" s="166"/>
      <c r="G25" s="166"/>
      <c r="H25" s="166"/>
      <c r="I25" s="166"/>
    </row>
    <row r="26" spans="1:9">
      <c r="A26" s="166"/>
      <c r="B26" s="166"/>
      <c r="C26" s="166"/>
      <c r="D26" s="166"/>
      <c r="E26" s="166"/>
      <c r="F26" s="166"/>
      <c r="G26" s="166"/>
      <c r="H26" s="166"/>
      <c r="I26" s="166"/>
    </row>
    <row r="27" spans="1:9">
      <c r="A27" s="166"/>
      <c r="B27" s="166"/>
      <c r="C27" s="166"/>
      <c r="D27" s="166"/>
      <c r="E27" s="166"/>
      <c r="F27" s="166"/>
      <c r="G27" s="166"/>
      <c r="H27" s="166"/>
      <c r="I27" s="166"/>
    </row>
    <row r="28" spans="1:9">
      <c r="A28" s="166"/>
      <c r="B28" s="166"/>
      <c r="C28" s="166"/>
      <c r="D28" s="166"/>
      <c r="E28" s="166"/>
      <c r="F28" s="166"/>
      <c r="G28" s="166"/>
      <c r="H28" s="166"/>
      <c r="I28" s="166"/>
    </row>
    <row r="29" spans="1:9">
      <c r="A29" s="166"/>
      <c r="B29" s="166"/>
      <c r="C29" s="166"/>
      <c r="D29" s="166"/>
      <c r="E29" s="166"/>
      <c r="F29" s="166"/>
      <c r="G29" s="166"/>
      <c r="H29" s="166"/>
      <c r="I29" s="166"/>
    </row>
    <row r="30" spans="1:9">
      <c r="A30" s="166"/>
      <c r="B30" s="166"/>
      <c r="C30" s="166"/>
      <c r="D30" s="166"/>
      <c r="E30" s="166"/>
      <c r="F30" s="166"/>
      <c r="G30" s="166"/>
      <c r="H30" s="166"/>
      <c r="I30" s="166"/>
    </row>
    <row r="31" spans="1:9">
      <c r="A31" s="166"/>
      <c r="B31" s="166"/>
      <c r="C31" s="166"/>
      <c r="D31" s="166"/>
      <c r="E31" s="166"/>
      <c r="F31" s="166"/>
      <c r="G31" s="166"/>
      <c r="H31" s="166"/>
      <c r="I31" s="166"/>
    </row>
    <row r="32" spans="1:9">
      <c r="A32" s="166"/>
      <c r="B32" s="166"/>
      <c r="C32" s="166"/>
      <c r="D32" s="166"/>
      <c r="E32" s="166"/>
      <c r="F32" s="166"/>
      <c r="G32" s="166"/>
      <c r="H32" s="166"/>
      <c r="I32" s="166"/>
    </row>
    <row r="33" spans="1:9">
      <c r="A33" s="166"/>
      <c r="B33" s="166"/>
      <c r="C33" s="166"/>
      <c r="D33" s="166"/>
      <c r="E33" s="166"/>
      <c r="F33" s="166"/>
      <c r="G33" s="166"/>
      <c r="H33" s="166"/>
      <c r="I33" s="166"/>
    </row>
    <row r="34" spans="1:9">
      <c r="A34" s="166"/>
      <c r="B34" s="166"/>
      <c r="C34" s="166"/>
      <c r="D34" s="166"/>
      <c r="E34" s="166"/>
      <c r="F34" s="166"/>
      <c r="G34" s="166"/>
      <c r="H34" s="166"/>
      <c r="I34" s="166"/>
    </row>
    <row r="35" spans="1:9">
      <c r="A35" s="166"/>
      <c r="B35" s="166"/>
      <c r="C35" s="166"/>
      <c r="D35" s="166"/>
      <c r="E35" s="166"/>
      <c r="F35" s="166"/>
      <c r="G35" s="166"/>
      <c r="H35" s="166"/>
      <c r="I35" s="166"/>
    </row>
    <row r="36" spans="1:9">
      <c r="A36" s="166"/>
      <c r="B36" s="166"/>
      <c r="C36" s="166"/>
      <c r="D36" s="166"/>
      <c r="E36" s="166"/>
      <c r="F36" s="166"/>
      <c r="G36" s="166"/>
      <c r="H36" s="166"/>
      <c r="I36" s="166"/>
    </row>
    <row r="37" spans="1:9">
      <c r="A37" s="166"/>
      <c r="B37" s="166"/>
      <c r="C37" s="166"/>
      <c r="D37" s="166"/>
      <c r="E37" s="166"/>
      <c r="F37" s="166"/>
      <c r="G37" s="166"/>
      <c r="H37" s="166"/>
      <c r="I37" s="166"/>
    </row>
    <row r="38" spans="1:9">
      <c r="A38" s="166"/>
      <c r="B38" s="166"/>
      <c r="C38" s="166"/>
      <c r="D38" s="166"/>
      <c r="E38" s="166"/>
      <c r="F38" s="166"/>
      <c r="G38" s="166"/>
      <c r="H38" s="166"/>
      <c r="I38" s="166"/>
    </row>
    <row r="39" spans="1:9">
      <c r="A39" s="166"/>
      <c r="B39" s="166"/>
      <c r="C39" s="166"/>
      <c r="D39" s="166"/>
      <c r="E39" s="166"/>
      <c r="F39" s="166"/>
      <c r="G39" s="166"/>
      <c r="H39" s="166"/>
      <c r="I39" s="166"/>
    </row>
    <row r="40" spans="1:9">
      <c r="A40" s="166"/>
      <c r="B40" s="166"/>
      <c r="C40" s="166"/>
      <c r="D40" s="166"/>
      <c r="E40" s="166"/>
      <c r="F40" s="166"/>
      <c r="G40" s="166"/>
      <c r="H40" s="166"/>
      <c r="I40" s="166"/>
    </row>
    <row r="41" spans="1:9">
      <c r="A41" s="166"/>
      <c r="B41" s="166"/>
      <c r="C41" s="166"/>
      <c r="D41" s="166"/>
      <c r="E41" s="166"/>
      <c r="F41" s="166"/>
      <c r="G41" s="166"/>
      <c r="H41" s="166"/>
      <c r="I41" s="166"/>
    </row>
    <row r="42" spans="1:9">
      <c r="A42" s="166"/>
      <c r="B42" s="166"/>
      <c r="C42" s="166"/>
      <c r="D42" s="166"/>
      <c r="E42" s="166"/>
      <c r="F42" s="166"/>
      <c r="G42" s="166"/>
      <c r="H42" s="166"/>
      <c r="I42" s="166"/>
    </row>
    <row r="43" spans="1:9">
      <c r="A43" s="166"/>
      <c r="B43" s="166"/>
      <c r="C43" s="166"/>
      <c r="D43" s="166"/>
      <c r="E43" s="166"/>
      <c r="F43" s="166"/>
      <c r="G43" s="166"/>
      <c r="H43" s="166"/>
      <c r="I43" s="166"/>
    </row>
    <row r="44" spans="1:9">
      <c r="A44" s="166"/>
      <c r="B44" s="166"/>
      <c r="C44" s="166"/>
      <c r="D44" s="166"/>
      <c r="E44" s="166"/>
      <c r="F44" s="166"/>
      <c r="G44" s="166"/>
      <c r="H44" s="166"/>
      <c r="I44" s="166"/>
    </row>
    <row r="45" spans="1:9">
      <c r="A45" s="166"/>
      <c r="B45" s="166"/>
      <c r="C45" s="166"/>
      <c r="D45" s="166"/>
      <c r="E45" s="166"/>
      <c r="F45" s="166"/>
      <c r="G45" s="166"/>
      <c r="H45" s="166"/>
      <c r="I45" s="166"/>
    </row>
  </sheetData>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CA127-5F2C-43B5-B46B-53FCF2E672D7}">
  <dimension ref="A1:W38"/>
  <sheetViews>
    <sheetView zoomScale="90" zoomScaleNormal="90" workbookViewId="0">
      <selection activeCell="B88" sqref="B88:K88"/>
    </sheetView>
  </sheetViews>
  <sheetFormatPr defaultRowHeight="15"/>
  <cols>
    <col min="1" max="16384" width="9.140625" style="189"/>
  </cols>
  <sheetData>
    <row r="1" spans="1:18">
      <c r="A1" s="189" t="s">
        <v>234</v>
      </c>
      <c r="B1" s="189" t="s">
        <v>275</v>
      </c>
      <c r="C1" s="189" t="s">
        <v>276</v>
      </c>
      <c r="D1" s="189" t="s">
        <v>277</v>
      </c>
      <c r="E1" s="189" t="s">
        <v>278</v>
      </c>
      <c r="M1" s="189" t="s">
        <v>234</v>
      </c>
      <c r="N1" s="189" t="s">
        <v>275</v>
      </c>
      <c r="O1" s="189" t="s">
        <v>276</v>
      </c>
      <c r="P1" s="189" t="s">
        <v>277</v>
      </c>
      <c r="Q1" s="189" t="s">
        <v>278</v>
      </c>
    </row>
    <row r="2" spans="1:18">
      <c r="A2" s="189" t="s">
        <v>90</v>
      </c>
      <c r="B2" s="189" t="s">
        <v>216</v>
      </c>
      <c r="C2" s="188">
        <v>3.2739307880401611</v>
      </c>
      <c r="D2" s="188">
        <v>2.1005141735076904</v>
      </c>
      <c r="E2" s="188">
        <v>5.9042503792217271</v>
      </c>
      <c r="F2" s="207"/>
      <c r="M2" s="189" t="s">
        <v>119</v>
      </c>
      <c r="N2" s="189" t="s">
        <v>209</v>
      </c>
      <c r="O2" s="188">
        <v>10.38683032989502</v>
      </c>
      <c r="P2" s="188">
        <v>6.7763710021972656</v>
      </c>
      <c r="Q2" s="188">
        <v>9.2799363723163513</v>
      </c>
      <c r="R2" s="188"/>
    </row>
    <row r="3" spans="1:18">
      <c r="A3" s="189" t="s">
        <v>279</v>
      </c>
      <c r="B3" s="189" t="s">
        <v>217</v>
      </c>
      <c r="C3" s="188">
        <v>3.2674150466918945</v>
      </c>
      <c r="D3" s="188">
        <v>0.5834384560585022</v>
      </c>
      <c r="E3" s="188">
        <v>6.6150303537785264</v>
      </c>
      <c r="F3" s="207"/>
      <c r="M3" s="189" t="s">
        <v>123</v>
      </c>
      <c r="N3" s="189" t="s">
        <v>280</v>
      </c>
      <c r="O3" s="188">
        <v>5.0620384216308594</v>
      </c>
      <c r="P3" s="188">
        <v>4.2806382179260254</v>
      </c>
      <c r="Q3" s="188">
        <v>2.4740737192537163</v>
      </c>
      <c r="R3" s="188"/>
    </row>
    <row r="4" spans="1:18">
      <c r="A4" s="189" t="s">
        <v>92</v>
      </c>
      <c r="B4" s="189" t="s">
        <v>210</v>
      </c>
      <c r="C4" s="188">
        <v>2.8190662860870361</v>
      </c>
      <c r="D4" s="188">
        <v>4.6258158683776855</v>
      </c>
      <c r="E4" s="188">
        <v>8.7360152344679811</v>
      </c>
      <c r="F4" s="207"/>
      <c r="M4" s="189" t="s">
        <v>281</v>
      </c>
      <c r="N4" s="189" t="s">
        <v>282</v>
      </c>
      <c r="O4" s="188">
        <v>2.8395786285400391</v>
      </c>
      <c r="P4" s="188">
        <v>2.0088984966278076</v>
      </c>
      <c r="Q4" s="188">
        <v>4.2094560244026695</v>
      </c>
      <c r="R4" s="188"/>
    </row>
    <row r="5" spans="1:18">
      <c r="A5" s="189" t="s">
        <v>283</v>
      </c>
      <c r="B5" s="189" t="s">
        <v>208</v>
      </c>
      <c r="C5" s="188">
        <v>2.22442626953125</v>
      </c>
      <c r="D5" s="188">
        <v>2.2456369400024414</v>
      </c>
      <c r="E5" s="188">
        <v>5.0878876079286046</v>
      </c>
      <c r="F5" s="207"/>
      <c r="M5" s="189" t="s">
        <v>120</v>
      </c>
      <c r="N5" s="189" t="s">
        <v>207</v>
      </c>
      <c r="O5" s="188">
        <v>2.7543647289276123</v>
      </c>
      <c r="P5" s="188">
        <v>2.877816915512085</v>
      </c>
      <c r="Q5" s="188">
        <v>7.8986031749479269</v>
      </c>
      <c r="R5" s="188"/>
    </row>
    <row r="6" spans="1:18">
      <c r="A6" s="189" t="s">
        <v>97</v>
      </c>
      <c r="B6" s="189" t="s">
        <v>214</v>
      </c>
      <c r="C6" s="188">
        <v>1.9455375671386719</v>
      </c>
      <c r="D6" s="188">
        <v>1.6759489774703979</v>
      </c>
      <c r="E6" s="188">
        <v>9.0667455547039264</v>
      </c>
      <c r="F6" s="207"/>
      <c r="M6" s="189" t="s">
        <v>124</v>
      </c>
      <c r="N6" s="189" t="s">
        <v>212</v>
      </c>
      <c r="O6" s="188">
        <v>2.2499127388000488</v>
      </c>
      <c r="P6" s="188">
        <v>-0.34694260358810425</v>
      </c>
      <c r="Q6" s="188">
        <v>6.868859461768781</v>
      </c>
      <c r="R6" s="188"/>
    </row>
    <row r="7" spans="1:18">
      <c r="A7" s="189" t="s">
        <v>87</v>
      </c>
      <c r="B7" s="189" t="s">
        <v>213</v>
      </c>
      <c r="C7" s="188">
        <v>1.8142446279525757</v>
      </c>
      <c r="D7" s="188">
        <v>-0.65403223037719727</v>
      </c>
      <c r="E7" s="188">
        <v>6.7965164175591228</v>
      </c>
      <c r="F7" s="207"/>
      <c r="M7" s="189" t="s">
        <v>111</v>
      </c>
      <c r="N7" s="189" t="s">
        <v>270</v>
      </c>
      <c r="O7" s="188">
        <v>0.87056618928909302</v>
      </c>
      <c r="P7" s="188">
        <v>0.72862482070922852</v>
      </c>
      <c r="Q7" s="188">
        <v>1.8756920229381098</v>
      </c>
      <c r="R7" s="188"/>
    </row>
    <row r="8" spans="1:18" ht="18">
      <c r="A8" s="189" t="s">
        <v>99</v>
      </c>
      <c r="B8" s="189" t="s">
        <v>215</v>
      </c>
      <c r="C8" s="188">
        <v>1.6440194845199585</v>
      </c>
      <c r="D8" s="188">
        <v>1.5640431642532349</v>
      </c>
      <c r="E8" s="188">
        <v>7.9864819690388442</v>
      </c>
      <c r="F8" s="207"/>
      <c r="L8" s="208"/>
      <c r="M8" s="189" t="s">
        <v>112</v>
      </c>
      <c r="N8" s="189" t="s">
        <v>218</v>
      </c>
      <c r="O8" s="188">
        <v>0.52127224206924438</v>
      </c>
      <c r="P8" s="188">
        <v>0.50671517848968506</v>
      </c>
      <c r="Q8" s="188">
        <v>6.6725219405401255</v>
      </c>
      <c r="R8" s="188"/>
    </row>
    <row r="9" spans="1:18" ht="18">
      <c r="A9" s="189" t="s">
        <v>91</v>
      </c>
      <c r="B9" s="189" t="s">
        <v>284</v>
      </c>
      <c r="C9" s="188">
        <v>1.5335482358932495</v>
      </c>
      <c r="D9" s="188">
        <v>1.2330772876739502</v>
      </c>
      <c r="E9" s="188">
        <v>8.6658021206798121</v>
      </c>
      <c r="F9" s="207"/>
      <c r="L9" s="208"/>
      <c r="O9" s="188"/>
      <c r="P9" s="188"/>
      <c r="Q9" s="188"/>
      <c r="R9" s="188"/>
    </row>
    <row r="10" spans="1:18" ht="18.75">
      <c r="A10" s="189" t="s">
        <v>96</v>
      </c>
      <c r="B10" s="189" t="s">
        <v>219</v>
      </c>
      <c r="C10" s="188">
        <v>0.89212912321090698</v>
      </c>
      <c r="D10" s="188">
        <v>1.4177795648574829</v>
      </c>
      <c r="E10" s="188">
        <v>2.4965648883176748</v>
      </c>
      <c r="F10" s="207"/>
      <c r="L10" s="209"/>
      <c r="O10" s="188"/>
      <c r="P10" s="188"/>
      <c r="Q10" s="188"/>
      <c r="R10" s="188"/>
    </row>
    <row r="12" spans="1:18" s="191" customFormat="1" ht="15.75">
      <c r="B12" s="192" t="s">
        <v>285</v>
      </c>
      <c r="N12" s="192" t="s">
        <v>285</v>
      </c>
    </row>
    <row r="13" spans="1:18" s="191" customFormat="1">
      <c r="B13" s="193" t="s">
        <v>286</v>
      </c>
      <c r="N13" s="193" t="s">
        <v>286</v>
      </c>
    </row>
    <row r="14" spans="1:18" s="191" customFormat="1">
      <c r="B14" s="210" t="s">
        <v>287</v>
      </c>
      <c r="N14" s="210" t="s">
        <v>288</v>
      </c>
    </row>
    <row r="15" spans="1:18" s="191" customFormat="1"/>
    <row r="16" spans="1:18" s="191" customFormat="1"/>
    <row r="17" s="191" customFormat="1"/>
    <row r="18" s="191" customFormat="1"/>
    <row r="19" s="191" customFormat="1"/>
    <row r="20" s="191" customFormat="1"/>
    <row r="21" s="191" customFormat="1"/>
    <row r="22" s="191" customFormat="1"/>
    <row r="23" s="191" customFormat="1"/>
    <row r="24" s="191" customFormat="1"/>
    <row r="25" s="191" customFormat="1"/>
    <row r="26" s="191" customFormat="1"/>
    <row r="27" s="191" customFormat="1"/>
    <row r="28" s="191" customFormat="1"/>
    <row r="29" s="191" customFormat="1"/>
    <row r="30" s="191" customFormat="1"/>
    <row r="31" s="191" customFormat="1"/>
    <row r="32" s="191" customFormat="1"/>
    <row r="33" spans="12:23" s="191" customFormat="1">
      <c r="V33" s="189"/>
      <c r="W33" s="189"/>
    </row>
    <row r="34" spans="12:23" s="191" customFormat="1">
      <c r="M34" s="189"/>
      <c r="N34" s="189"/>
      <c r="O34" s="189"/>
      <c r="P34" s="189"/>
      <c r="Q34" s="189"/>
      <c r="R34" s="189"/>
      <c r="S34" s="189"/>
      <c r="T34" s="189"/>
      <c r="U34" s="189"/>
    </row>
    <row r="35" spans="12:23" s="191" customFormat="1"/>
    <row r="36" spans="12:23" s="191" customFormat="1"/>
    <row r="37" spans="12:23">
      <c r="L37" s="191"/>
      <c r="M37" s="191"/>
      <c r="N37" s="191"/>
      <c r="O37" s="191"/>
      <c r="P37" s="191"/>
      <c r="Q37" s="191"/>
      <c r="R37" s="191"/>
      <c r="S37" s="191"/>
      <c r="T37" s="191"/>
      <c r="U37" s="191"/>
      <c r="V37" s="191"/>
      <c r="W37" s="191"/>
    </row>
    <row r="38" spans="12:23">
      <c r="M38" s="191"/>
      <c r="N38" s="191"/>
      <c r="O38" s="191"/>
      <c r="P38" s="191"/>
      <c r="Q38" s="191"/>
      <c r="R38" s="191"/>
      <c r="S38" s="191"/>
      <c r="T38" s="191"/>
      <c r="U38" s="191"/>
    </row>
  </sheetData>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7B303-2BAA-4BA7-A184-E9EA4CC1CA35}">
  <dimension ref="A1:X39"/>
  <sheetViews>
    <sheetView zoomScale="70" zoomScaleNormal="70" workbookViewId="0">
      <selection activeCell="B88" sqref="B88:K88"/>
    </sheetView>
  </sheetViews>
  <sheetFormatPr defaultRowHeight="15"/>
  <cols>
    <col min="1" max="1" width="7.140625" style="189" bestFit="1" customWidth="1"/>
    <col min="2" max="2" width="5.85546875" style="189" customWidth="1"/>
    <col min="3" max="3" width="14" style="189" bestFit="1" customWidth="1"/>
    <col min="4" max="4" width="15.140625" style="189" bestFit="1" customWidth="1"/>
    <col min="5" max="5" width="15" style="189" bestFit="1" customWidth="1"/>
    <col min="6" max="7" width="15.140625" style="189" bestFit="1" customWidth="1"/>
    <col min="8" max="9" width="9.140625" style="189"/>
    <col min="10" max="10" width="118.5703125" style="189" customWidth="1"/>
    <col min="11" max="16384" width="9.140625" style="189"/>
  </cols>
  <sheetData>
    <row r="1" spans="1:24" s="211" customFormat="1" ht="45">
      <c r="C1" s="211" t="s">
        <v>289</v>
      </c>
      <c r="D1" s="211" t="s">
        <v>290</v>
      </c>
      <c r="E1" s="211" t="s">
        <v>291</v>
      </c>
      <c r="F1" s="211" t="s">
        <v>292</v>
      </c>
      <c r="G1" s="211" t="s">
        <v>293</v>
      </c>
    </row>
    <row r="2" spans="1:24" ht="21.75" customHeight="1">
      <c r="A2" s="189" t="s">
        <v>279</v>
      </c>
      <c r="B2" s="212">
        <v>193</v>
      </c>
      <c r="C2" s="213">
        <v>-0.55962657928466797</v>
      </c>
      <c r="D2" s="213">
        <v>-0.27198982238769531</v>
      </c>
      <c r="E2" s="213">
        <v>-0.47789955139160156</v>
      </c>
      <c r="F2" s="213">
        <v>-0.69845390319824219</v>
      </c>
      <c r="G2" s="213">
        <v>-2.007969856262207</v>
      </c>
      <c r="H2" s="213"/>
      <c r="I2" s="191"/>
      <c r="J2" s="191"/>
      <c r="K2" s="191"/>
      <c r="L2" s="191"/>
      <c r="M2" s="191"/>
      <c r="N2" s="191"/>
      <c r="O2" s="191"/>
      <c r="P2" s="191"/>
      <c r="Q2" s="191"/>
      <c r="R2" s="191"/>
      <c r="S2" s="191"/>
      <c r="T2" s="191"/>
      <c r="U2" s="191"/>
      <c r="V2" s="191"/>
      <c r="W2" s="191"/>
      <c r="X2" s="191"/>
    </row>
    <row r="3" spans="1:24" ht="24.75" customHeight="1">
      <c r="A3" s="189" t="s">
        <v>124</v>
      </c>
      <c r="B3" s="212">
        <v>199</v>
      </c>
      <c r="C3" s="213">
        <v>-0.34790897369384766</v>
      </c>
      <c r="D3" s="213">
        <v>-0.57533550262451172</v>
      </c>
      <c r="E3" s="213">
        <v>-0.59159421920776367</v>
      </c>
      <c r="F3" s="213">
        <v>-5.985260009765625E-2</v>
      </c>
      <c r="G3" s="213">
        <v>-1.5746912956237793</v>
      </c>
      <c r="H3" s="213"/>
      <c r="I3" s="191"/>
      <c r="J3" s="191"/>
      <c r="K3" s="191"/>
      <c r="L3" s="191"/>
      <c r="M3" s="191"/>
      <c r="N3" s="191"/>
      <c r="O3" s="191"/>
    </row>
    <row r="4" spans="1:24">
      <c r="A4" s="189" t="s">
        <v>123</v>
      </c>
      <c r="B4" s="212">
        <v>456</v>
      </c>
      <c r="C4" s="213">
        <v>-3.4763216972351074E-2</v>
      </c>
      <c r="D4" s="213">
        <v>-1.9646530151367188</v>
      </c>
      <c r="E4" s="213">
        <v>1.1180171966552734</v>
      </c>
      <c r="F4" s="213">
        <v>7.5325489044189453E-2</v>
      </c>
      <c r="G4" s="213">
        <v>-0.80607354640960693</v>
      </c>
      <c r="H4" s="213"/>
      <c r="I4" s="191"/>
      <c r="J4" s="191"/>
      <c r="K4" s="191"/>
      <c r="L4" s="191"/>
      <c r="M4" s="191"/>
      <c r="N4" s="191"/>
      <c r="O4" s="191"/>
      <c r="P4" s="191"/>
      <c r="Q4" s="191"/>
      <c r="R4" s="191"/>
      <c r="S4" s="191"/>
      <c r="T4" s="191"/>
      <c r="U4" s="191"/>
      <c r="V4" s="191"/>
      <c r="W4" s="191"/>
      <c r="X4" s="191"/>
    </row>
    <row r="5" spans="1:24" ht="18">
      <c r="A5" s="189" t="s">
        <v>91</v>
      </c>
      <c r="B5" s="212">
        <v>134</v>
      </c>
      <c r="C5" s="213">
        <v>-0.97501945495605469</v>
      </c>
      <c r="D5" s="213">
        <v>-0.19310903549194336</v>
      </c>
      <c r="E5" s="213">
        <v>-4.2417049407958984E-2</v>
      </c>
      <c r="F5" s="213">
        <v>1.8958897590637207</v>
      </c>
      <c r="G5" s="213">
        <v>0.68534421920776367</v>
      </c>
      <c r="H5" s="213"/>
      <c r="I5" s="191"/>
      <c r="J5" s="214"/>
      <c r="K5" s="191"/>
      <c r="L5" s="191"/>
      <c r="M5" s="191"/>
      <c r="N5" s="191"/>
      <c r="O5" s="191"/>
      <c r="P5" s="191"/>
      <c r="Q5" s="191"/>
      <c r="R5" s="191"/>
      <c r="S5" s="191"/>
      <c r="T5" s="191"/>
      <c r="U5" s="191"/>
      <c r="V5" s="191"/>
      <c r="W5" s="191"/>
      <c r="X5" s="191"/>
    </row>
    <row r="6" spans="1:24" ht="15.75">
      <c r="A6" s="189" t="s">
        <v>90</v>
      </c>
      <c r="B6" s="212">
        <v>132</v>
      </c>
      <c r="C6" s="213">
        <v>-0.11734390258789063</v>
      </c>
      <c r="D6" s="213">
        <v>0.17277622222900391</v>
      </c>
      <c r="E6" s="213">
        <v>0.16678667068481445</v>
      </c>
      <c r="F6" s="213">
        <v>0.99080371856689453</v>
      </c>
      <c r="G6" s="213">
        <v>1.2130227088928223</v>
      </c>
      <c r="H6" s="213"/>
      <c r="I6" s="191"/>
      <c r="J6" s="215" t="s">
        <v>294</v>
      </c>
      <c r="K6" s="191"/>
      <c r="L6" s="191"/>
      <c r="M6" s="191"/>
      <c r="N6" s="191"/>
      <c r="O6" s="191"/>
      <c r="P6" s="191"/>
      <c r="Q6" s="191"/>
      <c r="R6" s="191"/>
      <c r="S6" s="191"/>
      <c r="T6" s="191"/>
      <c r="U6" s="191"/>
      <c r="V6" s="191"/>
      <c r="W6" s="191"/>
      <c r="X6" s="191"/>
    </row>
    <row r="7" spans="1:24">
      <c r="A7" s="189" t="s">
        <v>120</v>
      </c>
      <c r="B7" s="212">
        <v>273</v>
      </c>
      <c r="C7" s="213">
        <v>-8.2155704498291016E-2</v>
      </c>
      <c r="D7" s="213">
        <v>-0.1460883617401123</v>
      </c>
      <c r="E7" s="213">
        <v>0.54237222671508789</v>
      </c>
      <c r="F7" s="213">
        <v>1.4485645294189453</v>
      </c>
      <c r="G7" s="213">
        <v>1.7626926898956299</v>
      </c>
      <c r="H7" s="213"/>
      <c r="I7" s="191"/>
      <c r="J7" s="216" t="s">
        <v>225</v>
      </c>
      <c r="K7" s="191"/>
      <c r="L7" s="191"/>
      <c r="M7" s="191"/>
      <c r="N7" s="191"/>
      <c r="O7" s="191"/>
      <c r="P7" s="191"/>
      <c r="Q7" s="191"/>
      <c r="R7" s="191"/>
      <c r="S7" s="191"/>
      <c r="T7" s="191"/>
      <c r="U7" s="191"/>
      <c r="V7" s="191"/>
      <c r="W7" s="191"/>
      <c r="X7" s="191"/>
    </row>
    <row r="8" spans="1:24">
      <c r="A8" s="189" t="s">
        <v>92</v>
      </c>
      <c r="B8" s="212">
        <v>136</v>
      </c>
      <c r="C8" s="213">
        <v>-0.33505630493164063</v>
      </c>
      <c r="D8" s="213">
        <v>-1.8509864807128906E-2</v>
      </c>
      <c r="E8" s="213">
        <v>0.23071908950805664</v>
      </c>
      <c r="F8" s="213">
        <v>3.6071786880493164</v>
      </c>
      <c r="G8" s="213">
        <v>3.4843316078186035</v>
      </c>
      <c r="H8" s="213"/>
      <c r="I8" s="191"/>
      <c r="J8" s="191"/>
      <c r="K8" s="191"/>
      <c r="L8" s="191"/>
      <c r="M8" s="191"/>
      <c r="N8" s="191"/>
      <c r="O8" s="191"/>
      <c r="P8" s="191"/>
      <c r="Q8" s="191"/>
      <c r="R8" s="191"/>
      <c r="S8" s="191"/>
      <c r="T8" s="191"/>
      <c r="U8" s="191"/>
      <c r="V8" s="191"/>
      <c r="W8" s="191"/>
      <c r="X8" s="191"/>
    </row>
    <row r="9" spans="1:24">
      <c r="A9" s="189" t="s">
        <v>283</v>
      </c>
      <c r="B9" s="212">
        <v>542</v>
      </c>
      <c r="C9" s="213">
        <v>1.1723127365112305</v>
      </c>
      <c r="D9" s="213">
        <v>0.38357853889465332</v>
      </c>
      <c r="E9" s="213">
        <v>0.29720950126647949</v>
      </c>
      <c r="F9" s="213">
        <v>1.7366771697998047</v>
      </c>
      <c r="G9" s="213">
        <v>3.589777946472168</v>
      </c>
      <c r="H9" s="213"/>
      <c r="I9" s="191"/>
      <c r="J9" s="191"/>
      <c r="K9" s="191"/>
      <c r="L9" s="191"/>
      <c r="M9" s="191"/>
      <c r="N9" s="191"/>
      <c r="O9" s="191"/>
      <c r="P9" s="191"/>
      <c r="Q9" s="191"/>
      <c r="R9" s="191"/>
      <c r="S9" s="191"/>
      <c r="T9" s="191"/>
      <c r="U9" s="191"/>
      <c r="V9" s="191"/>
      <c r="W9" s="191"/>
      <c r="X9" s="191"/>
    </row>
    <row r="10" spans="1:24">
      <c r="B10" s="217"/>
      <c r="C10" s="218"/>
      <c r="D10" s="218"/>
      <c r="E10" s="218"/>
      <c r="F10" s="218"/>
      <c r="G10" s="218"/>
      <c r="I10" s="191"/>
      <c r="J10" s="191"/>
      <c r="K10" s="191"/>
      <c r="L10" s="191"/>
      <c r="M10" s="191"/>
      <c r="N10" s="191"/>
      <c r="O10" s="191"/>
      <c r="P10" s="191"/>
      <c r="Q10" s="191"/>
      <c r="R10" s="191"/>
      <c r="S10" s="191"/>
      <c r="T10" s="191"/>
      <c r="U10" s="191"/>
      <c r="V10" s="191"/>
      <c r="W10" s="191"/>
      <c r="X10" s="191"/>
    </row>
    <row r="11" spans="1:24">
      <c r="I11" s="191"/>
      <c r="J11" s="191"/>
      <c r="K11" s="191"/>
      <c r="L11" s="191"/>
      <c r="M11" s="191"/>
      <c r="N11" s="191"/>
      <c r="O11" s="191"/>
      <c r="P11" s="191"/>
      <c r="Q11" s="191"/>
      <c r="R11" s="191"/>
      <c r="S11" s="191"/>
      <c r="T11" s="191"/>
      <c r="U11" s="191"/>
      <c r="V11" s="191"/>
      <c r="W11" s="191"/>
      <c r="X11" s="191"/>
    </row>
    <row r="12" spans="1:24">
      <c r="I12" s="191"/>
      <c r="J12" s="191"/>
      <c r="K12" s="191"/>
      <c r="L12" s="191"/>
      <c r="M12" s="191"/>
      <c r="N12" s="191"/>
      <c r="O12" s="191"/>
      <c r="P12" s="191"/>
      <c r="Q12" s="191"/>
      <c r="R12" s="191"/>
      <c r="S12" s="191"/>
      <c r="T12" s="191"/>
      <c r="U12" s="191"/>
      <c r="V12" s="191"/>
      <c r="W12" s="191"/>
      <c r="X12" s="191"/>
    </row>
    <row r="13" spans="1:24">
      <c r="I13" s="191"/>
      <c r="J13" s="191"/>
      <c r="K13" s="191"/>
      <c r="L13" s="191"/>
      <c r="M13" s="191"/>
      <c r="N13" s="191"/>
      <c r="O13" s="191"/>
      <c r="P13" s="191"/>
      <c r="Q13" s="191"/>
      <c r="R13" s="191"/>
      <c r="S13" s="191"/>
      <c r="T13" s="191"/>
      <c r="U13" s="191"/>
      <c r="V13" s="191"/>
      <c r="W13" s="191"/>
      <c r="X13" s="191"/>
    </row>
    <row r="14" spans="1:24">
      <c r="I14" s="191"/>
      <c r="J14" s="191"/>
      <c r="K14" s="191"/>
      <c r="L14" s="191"/>
      <c r="M14" s="191"/>
      <c r="N14" s="191"/>
      <c r="O14" s="191"/>
      <c r="P14" s="191"/>
      <c r="Q14" s="191"/>
      <c r="R14" s="191"/>
      <c r="S14" s="191"/>
      <c r="T14" s="191"/>
      <c r="U14" s="191"/>
      <c r="V14" s="191"/>
      <c r="W14" s="191"/>
      <c r="X14" s="191"/>
    </row>
    <row r="15" spans="1:24">
      <c r="I15" s="191"/>
      <c r="J15" s="191"/>
      <c r="K15" s="191"/>
      <c r="L15" s="191"/>
      <c r="M15" s="191"/>
      <c r="N15" s="191"/>
      <c r="O15" s="191"/>
      <c r="P15" s="191"/>
      <c r="Q15" s="191"/>
      <c r="R15" s="191"/>
      <c r="S15" s="191"/>
      <c r="T15" s="191"/>
      <c r="U15" s="191"/>
      <c r="V15" s="191"/>
      <c r="W15" s="191"/>
      <c r="X15" s="191"/>
    </row>
    <row r="16" spans="1:24">
      <c r="I16" s="191"/>
      <c r="J16" s="191"/>
      <c r="K16" s="191"/>
      <c r="L16" s="191"/>
      <c r="M16" s="191"/>
      <c r="N16" s="191"/>
      <c r="O16" s="191"/>
      <c r="P16" s="191"/>
      <c r="Q16" s="191"/>
      <c r="R16" s="191"/>
      <c r="S16" s="191"/>
      <c r="T16" s="191"/>
      <c r="U16" s="191"/>
      <c r="V16" s="191"/>
      <c r="W16" s="191"/>
      <c r="X16" s="191"/>
    </row>
    <row r="17" spans="9:24">
      <c r="I17" s="191"/>
      <c r="J17" s="191"/>
      <c r="K17" s="191"/>
      <c r="L17" s="191"/>
      <c r="M17" s="191"/>
      <c r="N17" s="191"/>
      <c r="O17" s="191"/>
      <c r="P17" s="191"/>
      <c r="Q17" s="191"/>
      <c r="R17" s="191"/>
      <c r="S17" s="191"/>
      <c r="T17" s="191"/>
      <c r="U17" s="191"/>
      <c r="V17" s="191"/>
      <c r="W17" s="191"/>
      <c r="X17" s="191"/>
    </row>
    <row r="18" spans="9:24">
      <c r="I18" s="191"/>
      <c r="J18" s="191"/>
      <c r="K18" s="191"/>
      <c r="L18" s="191"/>
      <c r="M18" s="191"/>
      <c r="N18" s="191"/>
      <c r="O18" s="191"/>
      <c r="P18" s="191"/>
      <c r="Q18" s="191"/>
      <c r="R18" s="191"/>
      <c r="S18" s="191"/>
      <c r="T18" s="191"/>
      <c r="U18" s="191"/>
      <c r="V18" s="191"/>
      <c r="W18" s="191"/>
      <c r="X18" s="191"/>
    </row>
    <row r="19" spans="9:24">
      <c r="I19" s="191"/>
      <c r="J19" s="191"/>
      <c r="K19" s="191"/>
      <c r="L19" s="191"/>
      <c r="M19" s="191"/>
      <c r="N19" s="191"/>
      <c r="O19" s="191"/>
      <c r="P19" s="191"/>
      <c r="Q19" s="191"/>
      <c r="R19" s="191"/>
      <c r="S19" s="191"/>
      <c r="T19" s="191"/>
      <c r="U19" s="191"/>
      <c r="V19" s="191"/>
      <c r="W19" s="191"/>
      <c r="X19" s="191"/>
    </row>
    <row r="20" spans="9:24">
      <c r="I20" s="191"/>
      <c r="J20" s="191"/>
      <c r="K20" s="191"/>
      <c r="L20" s="191"/>
      <c r="M20" s="191"/>
      <c r="N20" s="191"/>
      <c r="O20" s="191"/>
      <c r="P20" s="191"/>
      <c r="Q20" s="191"/>
      <c r="R20" s="191"/>
      <c r="S20" s="191"/>
      <c r="T20" s="191"/>
      <c r="U20" s="191"/>
      <c r="V20" s="191"/>
      <c r="W20" s="191"/>
      <c r="X20" s="191"/>
    </row>
    <row r="21" spans="9:24">
      <c r="I21" s="191"/>
      <c r="J21" s="191"/>
      <c r="K21" s="191"/>
      <c r="L21" s="191"/>
      <c r="M21" s="191"/>
      <c r="N21" s="191"/>
      <c r="O21" s="191"/>
      <c r="P21" s="191"/>
      <c r="Q21" s="191"/>
      <c r="R21" s="191"/>
      <c r="S21" s="191"/>
      <c r="T21" s="191"/>
      <c r="U21" s="191"/>
      <c r="V21" s="191"/>
      <c r="W21" s="191"/>
      <c r="X21" s="191"/>
    </row>
    <row r="22" spans="9:24">
      <c r="I22" s="191"/>
      <c r="J22" s="191"/>
      <c r="K22" s="191"/>
      <c r="L22" s="191"/>
      <c r="M22" s="191"/>
      <c r="N22" s="191"/>
      <c r="O22" s="191"/>
      <c r="P22" s="191"/>
      <c r="Q22" s="191"/>
      <c r="R22" s="191"/>
      <c r="S22" s="191"/>
      <c r="T22" s="191"/>
      <c r="U22" s="191"/>
      <c r="V22" s="191"/>
      <c r="W22" s="191"/>
      <c r="X22" s="191"/>
    </row>
    <row r="23" spans="9:24">
      <c r="I23" s="191"/>
      <c r="J23" s="191"/>
      <c r="K23" s="191"/>
      <c r="L23" s="191"/>
      <c r="M23" s="191"/>
      <c r="N23" s="191"/>
      <c r="O23" s="191"/>
      <c r="P23" s="191"/>
      <c r="Q23" s="191"/>
      <c r="R23" s="191"/>
      <c r="S23" s="191"/>
      <c r="T23" s="191"/>
      <c r="U23" s="191"/>
      <c r="V23" s="191"/>
      <c r="W23" s="191"/>
      <c r="X23" s="191"/>
    </row>
    <row r="24" spans="9:24">
      <c r="I24" s="191"/>
      <c r="J24" s="191"/>
      <c r="K24" s="191"/>
      <c r="L24" s="191"/>
      <c r="M24" s="191"/>
      <c r="N24" s="191"/>
      <c r="O24" s="191"/>
      <c r="P24" s="191"/>
      <c r="Q24" s="191"/>
      <c r="R24" s="191"/>
      <c r="S24" s="191"/>
      <c r="T24" s="191"/>
      <c r="U24" s="191"/>
      <c r="V24" s="191"/>
      <c r="W24" s="191"/>
      <c r="X24" s="191"/>
    </row>
    <row r="25" spans="9:24">
      <c r="I25" s="191"/>
      <c r="J25" s="191"/>
      <c r="K25" s="191"/>
      <c r="L25" s="191"/>
      <c r="M25" s="191"/>
      <c r="N25" s="191"/>
      <c r="O25" s="191"/>
      <c r="P25" s="191"/>
      <c r="Q25" s="191"/>
      <c r="R25" s="191"/>
      <c r="S25" s="191"/>
      <c r="T25" s="191"/>
      <c r="U25" s="191"/>
      <c r="V25" s="191"/>
      <c r="W25" s="191"/>
      <c r="X25" s="191"/>
    </row>
    <row r="26" spans="9:24">
      <c r="I26" s="191"/>
      <c r="J26" s="191"/>
      <c r="K26" s="191"/>
      <c r="L26" s="191"/>
      <c r="M26" s="191"/>
      <c r="N26" s="191"/>
      <c r="O26" s="191"/>
      <c r="P26" s="191"/>
      <c r="Q26" s="191"/>
      <c r="R26" s="191"/>
      <c r="S26" s="191"/>
      <c r="T26" s="191"/>
      <c r="U26" s="191"/>
      <c r="V26" s="191"/>
      <c r="W26" s="191"/>
      <c r="X26" s="191"/>
    </row>
    <row r="27" spans="9:24">
      <c r="I27" s="191"/>
      <c r="J27" s="191"/>
      <c r="K27" s="191"/>
      <c r="L27" s="191"/>
      <c r="M27" s="191"/>
      <c r="N27" s="191"/>
      <c r="O27" s="191"/>
      <c r="P27" s="191"/>
      <c r="Q27" s="191"/>
      <c r="R27" s="191"/>
      <c r="S27" s="191"/>
      <c r="T27" s="191"/>
      <c r="U27" s="191"/>
      <c r="V27" s="191"/>
      <c r="W27" s="191"/>
      <c r="X27" s="191"/>
    </row>
    <row r="28" spans="9:24">
      <c r="I28" s="191"/>
      <c r="J28" s="191"/>
      <c r="K28" s="191"/>
      <c r="L28" s="191"/>
      <c r="M28" s="191"/>
      <c r="N28" s="191"/>
      <c r="O28" s="191"/>
      <c r="P28" s="191"/>
      <c r="Q28" s="191"/>
      <c r="R28" s="191"/>
      <c r="S28" s="191"/>
      <c r="T28" s="191"/>
      <c r="U28" s="191"/>
      <c r="V28" s="191"/>
      <c r="W28" s="191"/>
      <c r="X28" s="191"/>
    </row>
    <row r="29" spans="9:24">
      <c r="I29" s="191"/>
      <c r="J29" s="191"/>
      <c r="K29" s="191"/>
      <c r="L29" s="191"/>
      <c r="M29" s="191"/>
      <c r="N29" s="191"/>
      <c r="O29" s="191"/>
      <c r="P29" s="191"/>
      <c r="Q29" s="191"/>
      <c r="R29" s="191"/>
      <c r="S29" s="191"/>
      <c r="T29" s="191"/>
      <c r="U29" s="191"/>
      <c r="V29" s="191"/>
      <c r="W29" s="191"/>
      <c r="X29" s="191"/>
    </row>
    <row r="30" spans="9:24">
      <c r="I30" s="191"/>
      <c r="J30" s="191"/>
      <c r="K30" s="191"/>
      <c r="L30" s="191"/>
      <c r="M30" s="191"/>
      <c r="N30" s="191"/>
      <c r="O30" s="191"/>
      <c r="P30" s="191"/>
      <c r="Q30" s="191"/>
      <c r="R30" s="191"/>
      <c r="S30" s="191"/>
      <c r="T30" s="191"/>
      <c r="U30" s="191"/>
      <c r="V30" s="191"/>
      <c r="W30" s="191"/>
      <c r="X30" s="191"/>
    </row>
    <row r="31" spans="9:24">
      <c r="I31" s="191"/>
      <c r="J31" s="191"/>
      <c r="K31" s="191"/>
      <c r="L31" s="191"/>
      <c r="M31" s="191"/>
      <c r="N31" s="191"/>
      <c r="O31" s="191"/>
      <c r="P31" s="191"/>
      <c r="Q31" s="191"/>
      <c r="R31" s="191"/>
      <c r="S31" s="191"/>
      <c r="T31" s="191"/>
      <c r="U31" s="191"/>
      <c r="V31" s="191"/>
      <c r="W31" s="191"/>
      <c r="X31" s="191"/>
    </row>
    <row r="32" spans="9:24">
      <c r="I32" s="191"/>
      <c r="J32" s="191"/>
      <c r="K32" s="191"/>
      <c r="L32" s="191"/>
      <c r="M32" s="191"/>
      <c r="N32" s="191"/>
      <c r="O32" s="191"/>
      <c r="P32" s="191"/>
      <c r="Q32" s="191"/>
      <c r="R32" s="191"/>
      <c r="S32" s="191"/>
      <c r="T32" s="191"/>
      <c r="U32" s="191"/>
      <c r="V32" s="191"/>
      <c r="W32" s="191"/>
      <c r="X32" s="191"/>
    </row>
    <row r="33" spans="9:24">
      <c r="I33" s="191"/>
      <c r="J33" s="191"/>
      <c r="K33" s="191"/>
      <c r="L33" s="191"/>
      <c r="M33" s="191"/>
      <c r="N33" s="191"/>
      <c r="O33" s="191"/>
      <c r="P33" s="191"/>
      <c r="Q33" s="191"/>
      <c r="R33" s="191"/>
      <c r="S33" s="191"/>
      <c r="T33" s="191"/>
      <c r="U33" s="191"/>
      <c r="V33" s="191"/>
      <c r="W33" s="191"/>
      <c r="X33" s="191"/>
    </row>
    <row r="34" spans="9:24">
      <c r="I34" s="191"/>
      <c r="J34" s="191"/>
      <c r="K34" s="191"/>
      <c r="L34" s="191"/>
      <c r="M34" s="191"/>
      <c r="N34" s="191"/>
      <c r="O34" s="191"/>
      <c r="P34" s="191"/>
      <c r="Q34" s="191"/>
      <c r="R34" s="191"/>
      <c r="S34" s="191"/>
      <c r="T34" s="191"/>
      <c r="U34" s="191"/>
      <c r="V34" s="191"/>
      <c r="W34" s="191"/>
      <c r="X34" s="191"/>
    </row>
    <row r="35" spans="9:24">
      <c r="I35" s="191"/>
      <c r="J35" s="191"/>
      <c r="K35" s="191"/>
      <c r="L35" s="191"/>
      <c r="M35" s="191"/>
      <c r="N35" s="191"/>
      <c r="O35" s="191"/>
      <c r="P35" s="191"/>
      <c r="Q35" s="191"/>
      <c r="R35" s="191"/>
      <c r="S35" s="191"/>
      <c r="T35" s="191"/>
      <c r="U35" s="191"/>
      <c r="V35" s="191"/>
      <c r="W35" s="191"/>
      <c r="X35" s="191"/>
    </row>
    <row r="36" spans="9:24">
      <c r="I36" s="191"/>
      <c r="J36" s="191"/>
      <c r="K36" s="191"/>
      <c r="L36" s="191"/>
      <c r="M36" s="191"/>
      <c r="N36" s="191"/>
      <c r="O36" s="191"/>
      <c r="P36" s="191"/>
      <c r="Q36" s="191"/>
      <c r="R36" s="191"/>
      <c r="S36" s="191"/>
      <c r="T36" s="191"/>
      <c r="U36" s="191"/>
      <c r="V36" s="191"/>
      <c r="W36" s="191"/>
      <c r="X36" s="191"/>
    </row>
    <row r="37" spans="9:24">
      <c r="I37" s="191"/>
      <c r="J37" s="191"/>
      <c r="K37" s="191"/>
      <c r="L37" s="191"/>
      <c r="M37" s="191"/>
      <c r="N37" s="191"/>
      <c r="O37" s="191"/>
    </row>
    <row r="38" spans="9:24">
      <c r="I38" s="191"/>
      <c r="J38" s="191"/>
      <c r="K38" s="191"/>
      <c r="L38" s="191"/>
      <c r="M38" s="191"/>
      <c r="N38" s="191"/>
      <c r="O38" s="191"/>
    </row>
    <row r="39" spans="9:24">
      <c r="I39" s="191"/>
      <c r="J39" s="191"/>
      <c r="K39" s="191"/>
      <c r="L39" s="191"/>
      <c r="M39" s="191"/>
      <c r="N39" s="191"/>
      <c r="O39" s="191"/>
    </row>
  </sheetData>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2171A-A872-4056-9B74-CF065E6228D0}">
  <dimension ref="A1:K31"/>
  <sheetViews>
    <sheetView workbookViewId="0">
      <selection activeCell="B88" sqref="B88:K88"/>
    </sheetView>
  </sheetViews>
  <sheetFormatPr defaultRowHeight="12.75"/>
  <sheetData>
    <row r="1" spans="1:11">
      <c r="B1" t="s">
        <v>85</v>
      </c>
      <c r="C1" t="s">
        <v>295</v>
      </c>
      <c r="D1" t="s">
        <v>185</v>
      </c>
    </row>
    <row r="2" spans="1:11">
      <c r="A2">
        <v>2020</v>
      </c>
      <c r="B2">
        <v>0.84910599999999992</v>
      </c>
      <c r="C2">
        <v>-1.8195199999999998</v>
      </c>
      <c r="D2">
        <v>-1.2093579999999999</v>
      </c>
    </row>
    <row r="3" spans="1:11">
      <c r="A3">
        <v>2021</v>
      </c>
      <c r="B3">
        <v>-1.1426035000000001</v>
      </c>
      <c r="C3">
        <v>-6.8613169999999997</v>
      </c>
      <c r="D3">
        <v>-3.8846455</v>
      </c>
    </row>
    <row r="4" spans="1:11">
      <c r="A4">
        <v>2022</v>
      </c>
      <c r="B4">
        <v>-1.0744081000000001</v>
      </c>
      <c r="C4">
        <v>-0.70119699999999963</v>
      </c>
      <c r="D4">
        <v>-3.5756710000000003</v>
      </c>
    </row>
    <row r="6" spans="1:11" ht="15.75">
      <c r="B6" s="165"/>
      <c r="C6" s="168" t="s">
        <v>296</v>
      </c>
      <c r="D6" s="165"/>
      <c r="E6" s="165"/>
      <c r="F6" s="165"/>
      <c r="G6" s="165"/>
      <c r="H6" s="165"/>
      <c r="I6" s="165"/>
      <c r="J6" s="165"/>
      <c r="K6" s="165"/>
    </row>
    <row r="7" spans="1:11" ht="14.25">
      <c r="B7" s="165"/>
      <c r="C7" s="178" t="s">
        <v>225</v>
      </c>
      <c r="D7" s="165"/>
      <c r="E7" s="165"/>
      <c r="F7" s="165"/>
      <c r="G7" s="165"/>
      <c r="H7" s="165"/>
      <c r="I7" s="165"/>
      <c r="J7" s="165"/>
      <c r="K7" s="165"/>
    </row>
    <row r="8" spans="1:11">
      <c r="B8" s="165"/>
      <c r="C8" s="165"/>
      <c r="D8" s="165"/>
      <c r="E8" s="165"/>
      <c r="F8" s="165"/>
      <c r="G8" s="165"/>
      <c r="H8" s="165"/>
      <c r="I8" s="165"/>
      <c r="J8" s="165"/>
      <c r="K8" s="165"/>
    </row>
    <row r="9" spans="1:11">
      <c r="B9" s="165"/>
      <c r="C9" s="165"/>
      <c r="D9" s="165"/>
      <c r="E9" s="165"/>
      <c r="F9" s="165"/>
      <c r="G9" s="165"/>
      <c r="H9" s="165"/>
      <c r="I9" s="165"/>
      <c r="J9" s="165"/>
      <c r="K9" s="165"/>
    </row>
    <row r="10" spans="1:11">
      <c r="B10" s="165"/>
      <c r="C10" s="165"/>
      <c r="D10" s="165"/>
      <c r="E10" s="165"/>
      <c r="F10" s="165"/>
      <c r="G10" s="165"/>
      <c r="H10" s="165"/>
      <c r="I10" s="165"/>
      <c r="J10" s="165"/>
      <c r="K10" s="165"/>
    </row>
    <row r="11" spans="1:11">
      <c r="B11" s="165"/>
      <c r="C11" s="165"/>
      <c r="D11" s="165"/>
      <c r="E11" s="165"/>
      <c r="F11" s="165"/>
      <c r="G11" s="165"/>
      <c r="H11" s="165"/>
      <c r="I11" s="165"/>
      <c r="J11" s="165"/>
      <c r="K11" s="165"/>
    </row>
    <row r="12" spans="1:11">
      <c r="B12" s="165"/>
      <c r="C12" s="165"/>
      <c r="D12" s="165"/>
      <c r="E12" s="165"/>
      <c r="F12" s="165"/>
      <c r="G12" s="165"/>
      <c r="H12" s="165"/>
      <c r="I12" s="165"/>
      <c r="J12" s="165"/>
      <c r="K12" s="165"/>
    </row>
    <row r="13" spans="1:11">
      <c r="B13" s="165"/>
      <c r="C13" s="165"/>
      <c r="D13" s="165"/>
      <c r="E13" s="165"/>
      <c r="F13" s="165"/>
      <c r="G13" s="165"/>
      <c r="H13" s="165"/>
      <c r="I13" s="165"/>
      <c r="J13" s="165"/>
      <c r="K13" s="165"/>
    </row>
    <row r="14" spans="1:11">
      <c r="B14" s="165"/>
      <c r="C14" s="165"/>
      <c r="D14" s="165"/>
      <c r="E14" s="165"/>
      <c r="F14" s="165"/>
      <c r="G14" s="165"/>
      <c r="H14" s="165"/>
      <c r="I14" s="165"/>
      <c r="J14" s="165"/>
      <c r="K14" s="165"/>
    </row>
    <row r="15" spans="1:11">
      <c r="B15" s="165"/>
      <c r="C15" s="165"/>
      <c r="D15" s="165"/>
      <c r="E15" s="165"/>
      <c r="F15" s="165"/>
      <c r="G15" s="165"/>
      <c r="H15" s="165"/>
      <c r="I15" s="165"/>
      <c r="J15" s="165"/>
      <c r="K15" s="165"/>
    </row>
    <row r="16" spans="1:11">
      <c r="B16" s="165"/>
      <c r="C16" s="165"/>
      <c r="D16" s="165"/>
      <c r="E16" s="165"/>
      <c r="F16" s="165"/>
      <c r="G16" s="165"/>
      <c r="H16" s="165"/>
      <c r="I16" s="165"/>
      <c r="J16" s="165"/>
      <c r="K16" s="165"/>
    </row>
    <row r="17" spans="2:11">
      <c r="B17" s="165"/>
      <c r="C17" s="165"/>
      <c r="D17" s="165"/>
      <c r="E17" s="165"/>
      <c r="F17" s="165"/>
      <c r="G17" s="165"/>
      <c r="H17" s="165"/>
      <c r="I17" s="165"/>
      <c r="J17" s="165"/>
      <c r="K17" s="165"/>
    </row>
    <row r="18" spans="2:11">
      <c r="B18" s="165"/>
      <c r="C18" s="165"/>
      <c r="D18" s="165"/>
      <c r="E18" s="165"/>
      <c r="F18" s="165"/>
      <c r="G18" s="165"/>
      <c r="H18" s="165"/>
      <c r="I18" s="165"/>
      <c r="J18" s="165"/>
      <c r="K18" s="165"/>
    </row>
    <row r="19" spans="2:11">
      <c r="B19" s="165"/>
      <c r="C19" s="165"/>
      <c r="D19" s="165"/>
      <c r="E19" s="165"/>
      <c r="F19" s="165"/>
      <c r="G19" s="165"/>
      <c r="H19" s="165"/>
      <c r="I19" s="165"/>
      <c r="J19" s="165"/>
      <c r="K19" s="165"/>
    </row>
    <row r="20" spans="2:11">
      <c r="B20" s="165"/>
      <c r="C20" s="165"/>
      <c r="D20" s="165"/>
      <c r="E20" s="165"/>
      <c r="F20" s="165"/>
      <c r="G20" s="165"/>
      <c r="H20" s="165"/>
      <c r="I20" s="165"/>
      <c r="J20" s="165"/>
      <c r="K20" s="165"/>
    </row>
    <row r="21" spans="2:11">
      <c r="B21" s="165"/>
      <c r="C21" s="165"/>
      <c r="D21" s="165"/>
      <c r="E21" s="165"/>
      <c r="F21" s="165"/>
      <c r="G21" s="165"/>
      <c r="H21" s="165"/>
      <c r="I21" s="165"/>
      <c r="J21" s="165"/>
      <c r="K21" s="165"/>
    </row>
    <row r="22" spans="2:11">
      <c r="B22" s="165"/>
      <c r="C22" s="165"/>
      <c r="D22" s="165"/>
      <c r="E22" s="165"/>
      <c r="F22" s="165"/>
      <c r="G22" s="165"/>
      <c r="H22" s="165"/>
      <c r="I22" s="165"/>
      <c r="J22" s="165"/>
      <c r="K22" s="165"/>
    </row>
    <row r="23" spans="2:11">
      <c r="B23" s="165"/>
      <c r="C23" s="165"/>
      <c r="D23" s="165"/>
      <c r="E23" s="165"/>
      <c r="F23" s="165"/>
      <c r="G23" s="165"/>
      <c r="H23" s="165"/>
      <c r="I23" s="165"/>
      <c r="J23" s="165"/>
      <c r="K23" s="165"/>
    </row>
    <row r="24" spans="2:11">
      <c r="B24" s="165"/>
      <c r="C24" s="165"/>
      <c r="D24" s="165"/>
      <c r="E24" s="165"/>
      <c r="F24" s="165"/>
      <c r="G24" s="165"/>
      <c r="H24" s="165"/>
      <c r="I24" s="165"/>
      <c r="J24" s="165"/>
      <c r="K24" s="165"/>
    </row>
    <row r="25" spans="2:11">
      <c r="B25" s="165"/>
      <c r="C25" s="165"/>
      <c r="D25" s="165"/>
      <c r="E25" s="165"/>
      <c r="F25" s="165"/>
      <c r="G25" s="165"/>
      <c r="H25" s="165"/>
      <c r="I25" s="165"/>
      <c r="J25" s="165"/>
      <c r="K25" s="165"/>
    </row>
    <row r="26" spans="2:11">
      <c r="B26" s="165"/>
      <c r="C26" s="165"/>
      <c r="D26" s="165"/>
      <c r="E26" s="165"/>
      <c r="F26" s="165"/>
      <c r="G26" s="165"/>
      <c r="H26" s="165"/>
      <c r="I26" s="165"/>
      <c r="J26" s="165"/>
      <c r="K26" s="165"/>
    </row>
    <row r="27" spans="2:11">
      <c r="B27" s="165"/>
      <c r="C27" s="165"/>
      <c r="D27" s="165"/>
      <c r="E27" s="165"/>
      <c r="F27" s="165"/>
      <c r="G27" s="165"/>
      <c r="H27" s="165"/>
      <c r="I27" s="165"/>
      <c r="J27" s="165"/>
      <c r="K27" s="165"/>
    </row>
    <row r="28" spans="2:11">
      <c r="B28" s="165"/>
      <c r="C28" s="165"/>
      <c r="D28" s="165"/>
      <c r="E28" s="165"/>
      <c r="F28" s="165"/>
      <c r="G28" s="165"/>
      <c r="H28" s="165"/>
      <c r="I28" s="165"/>
      <c r="J28" s="165"/>
      <c r="K28" s="165"/>
    </row>
    <row r="29" spans="2:11">
      <c r="B29" s="165"/>
      <c r="C29" s="165"/>
      <c r="D29" s="165"/>
      <c r="E29" s="165"/>
      <c r="F29" s="165"/>
      <c r="G29" s="165"/>
      <c r="H29" s="165"/>
      <c r="I29" s="165"/>
      <c r="J29" s="165"/>
      <c r="K29" s="165"/>
    </row>
    <row r="30" spans="2:11">
      <c r="B30" s="165"/>
      <c r="C30" s="165"/>
      <c r="D30" s="165"/>
      <c r="E30" s="165"/>
      <c r="F30" s="165"/>
      <c r="G30" s="165"/>
      <c r="H30" s="165"/>
      <c r="I30" s="165"/>
      <c r="J30" s="165"/>
      <c r="K30" s="165"/>
    </row>
    <row r="31" spans="2:11">
      <c r="B31" s="165"/>
      <c r="C31" s="165"/>
      <c r="D31" s="165"/>
      <c r="E31" s="165"/>
      <c r="F31" s="165"/>
      <c r="G31" s="165"/>
      <c r="H31" s="165"/>
      <c r="I31" s="165"/>
      <c r="J31" s="165"/>
      <c r="K31" s="165"/>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D96D-1CC6-4910-B528-DFDD393EF839}">
  <dimension ref="A1:AC45"/>
  <sheetViews>
    <sheetView zoomScale="110" zoomScaleNormal="110" workbookViewId="0">
      <selection activeCell="B88" sqref="B88:K88"/>
    </sheetView>
  </sheetViews>
  <sheetFormatPr defaultRowHeight="12.75"/>
  <cols>
    <col min="6" max="6" width="10.85546875" customWidth="1"/>
    <col min="7" max="7" width="8.140625" customWidth="1"/>
    <col min="9" max="9" width="10.28515625" bestFit="1" customWidth="1"/>
    <col min="10" max="10" width="8" customWidth="1"/>
    <col min="12" max="12" width="10.140625" bestFit="1" customWidth="1"/>
  </cols>
  <sheetData>
    <row r="1" spans="1:29">
      <c r="B1" t="s">
        <v>297</v>
      </c>
      <c r="E1" t="s">
        <v>298</v>
      </c>
      <c r="Q1" t="s">
        <v>297</v>
      </c>
      <c r="T1" t="s">
        <v>298</v>
      </c>
    </row>
    <row r="2" spans="1:29">
      <c r="B2" t="s">
        <v>299</v>
      </c>
      <c r="C2" t="s">
        <v>300</v>
      </c>
      <c r="D2" t="s">
        <v>301</v>
      </c>
      <c r="E2" t="s">
        <v>302</v>
      </c>
      <c r="F2" t="s">
        <v>303</v>
      </c>
      <c r="G2" t="s">
        <v>304</v>
      </c>
      <c r="Q2" t="s">
        <v>305</v>
      </c>
      <c r="R2" t="s">
        <v>306</v>
      </c>
      <c r="S2" t="s">
        <v>307</v>
      </c>
      <c r="T2" t="s">
        <v>308</v>
      </c>
      <c r="U2" t="s">
        <v>309</v>
      </c>
      <c r="V2" t="s">
        <v>310</v>
      </c>
    </row>
    <row r="3" spans="1:29">
      <c r="A3">
        <v>0</v>
      </c>
      <c r="B3">
        <v>0</v>
      </c>
      <c r="C3">
        <v>0</v>
      </c>
      <c r="D3">
        <v>0</v>
      </c>
      <c r="E3">
        <v>0</v>
      </c>
      <c r="F3">
        <v>0</v>
      </c>
      <c r="G3">
        <v>0</v>
      </c>
      <c r="P3">
        <v>0</v>
      </c>
      <c r="Q3">
        <v>0</v>
      </c>
      <c r="R3">
        <v>0</v>
      </c>
      <c r="S3">
        <v>0</v>
      </c>
      <c r="T3">
        <v>0</v>
      </c>
      <c r="U3">
        <v>0</v>
      </c>
      <c r="V3">
        <v>0</v>
      </c>
    </row>
    <row r="4" spans="1:29">
      <c r="A4">
        <v>1</v>
      </c>
      <c r="B4">
        <v>0.39271040000000002</v>
      </c>
      <c r="C4">
        <v>0.30048809999999998</v>
      </c>
      <c r="D4">
        <v>0.70530950000000003</v>
      </c>
      <c r="E4">
        <v>0.4733193</v>
      </c>
      <c r="F4">
        <v>0.18444470000000002</v>
      </c>
      <c r="G4">
        <v>0.46398050000000002</v>
      </c>
      <c r="P4">
        <v>1</v>
      </c>
      <c r="Q4">
        <v>0.96822660000000005</v>
      </c>
      <c r="R4">
        <v>1.546583</v>
      </c>
      <c r="S4">
        <v>0.38987040000000001</v>
      </c>
      <c r="T4">
        <v>-1.0748260000000001</v>
      </c>
      <c r="U4">
        <v>0.20003560000000001</v>
      </c>
      <c r="V4">
        <v>-2.349688</v>
      </c>
    </row>
    <row r="5" spans="1:29">
      <c r="A5">
        <v>2</v>
      </c>
      <c r="B5">
        <v>0.67659400000000003</v>
      </c>
      <c r="C5">
        <v>0.45093179999999999</v>
      </c>
      <c r="D5">
        <v>0.73100759999999998</v>
      </c>
      <c r="E5">
        <v>0.43766149999999998</v>
      </c>
      <c r="F5">
        <v>0.45132439999999996</v>
      </c>
      <c r="G5">
        <v>0.58669250000000006</v>
      </c>
      <c r="P5">
        <v>2</v>
      </c>
      <c r="Q5">
        <v>1.534151</v>
      </c>
      <c r="R5">
        <v>2.4376989999999998</v>
      </c>
      <c r="S5">
        <v>0.63060309999999997</v>
      </c>
      <c r="T5">
        <v>-0.29993140000000001</v>
      </c>
      <c r="U5">
        <v>1.5609150000000001</v>
      </c>
      <c r="V5">
        <v>-2.1607780000000001</v>
      </c>
    </row>
    <row r="6" spans="1:29">
      <c r="A6">
        <v>3</v>
      </c>
      <c r="B6">
        <v>0.80470390000000003</v>
      </c>
      <c r="C6">
        <v>0.57939470000000004</v>
      </c>
      <c r="D6">
        <v>0.58701490000000001</v>
      </c>
      <c r="E6">
        <v>0.24692259999999999</v>
      </c>
      <c r="F6">
        <v>0.45061830000000003</v>
      </c>
      <c r="G6">
        <v>0.68018449999999997</v>
      </c>
      <c r="P6">
        <v>3</v>
      </c>
      <c r="Q6">
        <v>1.6347579999999999</v>
      </c>
      <c r="R6">
        <v>2.5716809999999999</v>
      </c>
      <c r="S6">
        <v>0.69783439999999997</v>
      </c>
      <c r="T6">
        <v>-0.78702519999999998</v>
      </c>
      <c r="U6">
        <v>1.1385799999999999</v>
      </c>
      <c r="V6">
        <v>-2.7126299999999999</v>
      </c>
    </row>
    <row r="7" spans="1:29">
      <c r="A7">
        <v>4</v>
      </c>
      <c r="B7">
        <v>0.80173309999999998</v>
      </c>
      <c r="C7">
        <v>0.57380549999999997</v>
      </c>
      <c r="D7">
        <v>0.5023957</v>
      </c>
      <c r="E7">
        <v>0.17255899999999999</v>
      </c>
      <c r="F7">
        <v>0.45585549999999997</v>
      </c>
      <c r="G7">
        <v>0.65967339999999997</v>
      </c>
      <c r="P7">
        <v>4</v>
      </c>
      <c r="Q7">
        <v>1.1530590000000001</v>
      </c>
      <c r="R7">
        <v>2.3848050000000001</v>
      </c>
      <c r="S7">
        <v>-7.8687000000000007E-2</v>
      </c>
      <c r="T7">
        <v>-1.65202</v>
      </c>
      <c r="U7">
        <v>0.80628069999999996</v>
      </c>
      <c r="V7">
        <v>-4.1103209999999999</v>
      </c>
    </row>
    <row r="8" spans="1:29">
      <c r="A8">
        <v>5</v>
      </c>
      <c r="B8">
        <v>0.67752389999999996</v>
      </c>
      <c r="C8">
        <v>0.4868576</v>
      </c>
      <c r="D8">
        <v>0.35230689999999998</v>
      </c>
      <c r="E8">
        <v>-0.13173689999999999</v>
      </c>
      <c r="F8">
        <v>0.38133249999999996</v>
      </c>
      <c r="G8">
        <v>0.96808760000000005</v>
      </c>
      <c r="P8">
        <v>5</v>
      </c>
      <c r="Q8">
        <v>1.118981</v>
      </c>
      <c r="R8">
        <v>2.3296969999999999</v>
      </c>
      <c r="S8">
        <v>-9.1735399999999995E-2</v>
      </c>
      <c r="T8">
        <v>-1.815043</v>
      </c>
      <c r="U8">
        <v>1.2120930000000001</v>
      </c>
      <c r="V8">
        <v>-4.8421799999999999</v>
      </c>
    </row>
    <row r="10" spans="1:29" ht="15.75">
      <c r="B10" s="165"/>
      <c r="C10" s="165"/>
      <c r="D10" s="165"/>
      <c r="E10" s="165"/>
      <c r="F10" s="165"/>
      <c r="G10" s="165"/>
      <c r="H10" s="165"/>
      <c r="I10" s="165"/>
      <c r="J10" s="165"/>
      <c r="K10" s="165"/>
      <c r="L10" s="165"/>
      <c r="M10" s="165"/>
      <c r="N10" s="165"/>
      <c r="O10" s="165"/>
      <c r="P10" s="165"/>
      <c r="Q10" s="165"/>
      <c r="R10" s="165"/>
      <c r="S10" s="219"/>
      <c r="T10" s="165"/>
      <c r="U10" s="165"/>
      <c r="V10" s="165"/>
      <c r="W10" s="165"/>
      <c r="X10" s="165"/>
      <c r="Y10" s="165"/>
      <c r="Z10" s="165"/>
      <c r="AA10" s="165"/>
      <c r="AB10" s="165"/>
      <c r="AC10" s="165"/>
    </row>
    <row r="11" spans="1:29" ht="15.75">
      <c r="B11" s="165"/>
      <c r="C11" s="165"/>
      <c r="D11" s="220"/>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row>
    <row r="12" spans="1:29" ht="18">
      <c r="B12" s="165"/>
      <c r="C12" s="165"/>
      <c r="D12" s="165"/>
      <c r="E12" s="165"/>
      <c r="F12" s="165"/>
      <c r="G12" s="165"/>
      <c r="H12" s="165"/>
      <c r="I12" s="165"/>
      <c r="J12" s="165"/>
      <c r="K12" s="165"/>
      <c r="L12" s="165"/>
      <c r="M12" s="165"/>
      <c r="N12" s="165"/>
      <c r="O12" s="165"/>
      <c r="P12" s="165"/>
      <c r="Q12" s="165"/>
      <c r="R12" s="165"/>
      <c r="S12" s="221" t="s">
        <v>23</v>
      </c>
      <c r="T12" s="165"/>
      <c r="U12" s="165"/>
      <c r="V12" s="165"/>
      <c r="W12" s="165"/>
      <c r="X12" s="165"/>
      <c r="Y12" s="165"/>
      <c r="Z12" s="165"/>
      <c r="AA12" s="165"/>
      <c r="AB12" s="165"/>
      <c r="AC12" s="165"/>
    </row>
    <row r="13" spans="1:29" ht="14.25">
      <c r="B13" s="165"/>
      <c r="C13" s="165"/>
      <c r="D13" s="165"/>
      <c r="E13" s="165"/>
      <c r="F13" s="165"/>
      <c r="G13" s="165"/>
      <c r="H13" s="165"/>
      <c r="I13" s="165"/>
      <c r="J13" s="165"/>
      <c r="K13" s="165"/>
      <c r="L13" s="165"/>
      <c r="M13" s="165"/>
      <c r="N13" s="165"/>
      <c r="O13" s="165"/>
      <c r="P13" s="165"/>
      <c r="Q13" s="165"/>
      <c r="R13" s="165"/>
      <c r="S13" s="222" t="s">
        <v>81</v>
      </c>
      <c r="T13" s="165"/>
      <c r="U13" s="165"/>
      <c r="V13" s="165"/>
      <c r="W13" s="165"/>
      <c r="X13" s="165"/>
      <c r="Y13" s="165"/>
      <c r="Z13" s="165"/>
      <c r="AA13" s="165"/>
      <c r="AB13" s="165"/>
      <c r="AC13" s="165"/>
    </row>
    <row r="14" spans="1:29" ht="18">
      <c r="B14" s="165"/>
      <c r="C14" s="165"/>
      <c r="D14" s="221" t="s">
        <v>23</v>
      </c>
      <c r="E14" s="165"/>
      <c r="F14" s="165"/>
      <c r="G14" s="165"/>
      <c r="H14" s="165"/>
      <c r="I14" s="165"/>
      <c r="J14" s="165"/>
      <c r="K14" s="165"/>
      <c r="L14" s="165"/>
      <c r="M14" s="165"/>
      <c r="N14" s="165"/>
      <c r="O14" s="165"/>
      <c r="P14" s="165"/>
      <c r="Q14" s="165"/>
      <c r="R14" s="165"/>
      <c r="S14" s="170" t="s">
        <v>311</v>
      </c>
      <c r="T14" s="165"/>
      <c r="U14" s="165"/>
      <c r="V14" s="165"/>
      <c r="W14" s="165"/>
      <c r="X14" s="165"/>
      <c r="Y14" s="165"/>
      <c r="Z14" s="165"/>
      <c r="AA14" s="165"/>
      <c r="AB14" s="165"/>
      <c r="AC14" s="165"/>
    </row>
    <row r="15" spans="1:29" ht="14.25">
      <c r="B15" s="165"/>
      <c r="C15" s="165"/>
      <c r="D15" s="222" t="s">
        <v>81</v>
      </c>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row>
    <row r="16" spans="1:29" ht="15">
      <c r="B16" s="165"/>
      <c r="C16" s="165"/>
      <c r="D16" s="170" t="s">
        <v>312</v>
      </c>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row>
    <row r="17" spans="2:29">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row>
    <row r="18" spans="2:29">
      <c r="B18" s="165"/>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row>
    <row r="19" spans="2:29">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row>
    <row r="20" spans="2:29">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row>
    <row r="21" spans="2:29">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row>
    <row r="22" spans="2:29">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row>
    <row r="23" spans="2:29">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row>
    <row r="24" spans="2:29">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row>
    <row r="25" spans="2:29">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row>
    <row r="26" spans="2:29">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row>
    <row r="27" spans="2:29">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row>
    <row r="28" spans="2:29">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row>
    <row r="29" spans="2:29">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row>
    <row r="30" spans="2:29">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row>
    <row r="31" spans="2:29">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row>
    <row r="32" spans="2:29">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row>
    <row r="33" spans="2:29">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row>
    <row r="34" spans="2:29">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row>
    <row r="35" spans="2:29">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row>
    <row r="36" spans="2:29">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row>
    <row r="37" spans="2:29">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row>
    <row r="38" spans="2:29">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row>
    <row r="39" spans="2:29">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row>
    <row r="40" spans="2:29">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row>
    <row r="41" spans="2:29">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row>
    <row r="42" spans="2:29">
      <c r="M42" s="165"/>
      <c r="N42" s="165"/>
      <c r="O42" s="165"/>
      <c r="P42" s="165"/>
      <c r="Q42" s="165"/>
      <c r="R42" s="165"/>
      <c r="S42" s="165"/>
      <c r="T42" s="165"/>
      <c r="U42" s="165"/>
      <c r="V42" s="165"/>
      <c r="W42" s="165"/>
      <c r="X42" s="165"/>
      <c r="Y42" s="165"/>
      <c r="Z42" s="165"/>
      <c r="AA42" s="165"/>
      <c r="AB42" s="165"/>
      <c r="AC42" s="165"/>
    </row>
    <row r="43" spans="2:29">
      <c r="P43" s="165"/>
      <c r="Q43" s="165"/>
      <c r="R43" s="165"/>
      <c r="S43" s="165"/>
      <c r="T43" s="165"/>
      <c r="U43" s="165"/>
      <c r="V43" s="165"/>
      <c r="W43" s="165"/>
      <c r="X43" s="165"/>
      <c r="Y43" s="165"/>
      <c r="Z43" s="165"/>
      <c r="AA43" s="165"/>
      <c r="AB43" s="165"/>
      <c r="AC43" s="165"/>
    </row>
    <row r="44" spans="2:29">
      <c r="P44" s="165"/>
      <c r="Q44" s="165"/>
      <c r="R44" s="165"/>
      <c r="S44" s="165"/>
      <c r="T44" s="165"/>
      <c r="U44" s="165"/>
      <c r="V44" s="165"/>
      <c r="W44" s="165"/>
      <c r="X44" s="165"/>
      <c r="Y44" s="165"/>
      <c r="Z44" s="165"/>
      <c r="AA44" s="165"/>
      <c r="AB44" s="165"/>
      <c r="AC44" s="165"/>
    </row>
    <row r="45" spans="2:29">
      <c r="P45" s="165"/>
      <c r="Q45" s="165"/>
      <c r="R45" s="165"/>
      <c r="S45" s="165"/>
      <c r="T45" s="165"/>
      <c r="U45" s="165"/>
      <c r="V45" s="165"/>
      <c r="W45" s="165"/>
      <c r="X45" s="165"/>
      <c r="Y45" s="165"/>
      <c r="Z45" s="165"/>
      <c r="AA45" s="165"/>
      <c r="AB45" s="165"/>
      <c r="AC45" s="165"/>
    </row>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D9827-98BC-483A-87F3-30FE246CDE53}">
  <sheetPr>
    <tabColor rgb="FFFF0000"/>
    <pageSetUpPr fitToPage="1"/>
  </sheetPr>
  <dimension ref="B4:J33"/>
  <sheetViews>
    <sheetView zoomScale="134" zoomScaleNormal="145" workbookViewId="0">
      <selection activeCell="B88" sqref="B88:K88"/>
    </sheetView>
  </sheetViews>
  <sheetFormatPr defaultColWidth="9.140625" defaultRowHeight="15"/>
  <cols>
    <col min="1" max="1" width="9.140625" style="33"/>
    <col min="2" max="10" width="10.5703125" style="33" customWidth="1"/>
    <col min="11" max="16384" width="9.140625" style="33"/>
  </cols>
  <sheetData>
    <row r="4" spans="2:10" ht="15.75" thickBot="1"/>
    <row r="5" spans="2:10">
      <c r="B5" s="34"/>
      <c r="C5" s="35"/>
      <c r="D5" s="35"/>
      <c r="E5" s="35"/>
      <c r="F5" s="35"/>
      <c r="G5" s="35"/>
      <c r="H5" s="35"/>
      <c r="I5" s="35"/>
      <c r="J5" s="36"/>
    </row>
    <row r="6" spans="2:10">
      <c r="B6" s="37"/>
      <c r="C6" s="38"/>
      <c r="D6" s="38"/>
      <c r="E6" s="38"/>
      <c r="F6" s="38"/>
      <c r="G6" s="38"/>
      <c r="H6" s="38"/>
      <c r="I6" s="38"/>
      <c r="J6" s="39"/>
    </row>
    <row r="7" spans="2:10">
      <c r="B7" s="572" t="s">
        <v>0</v>
      </c>
      <c r="C7" s="573"/>
      <c r="D7" s="573"/>
      <c r="E7" s="573"/>
      <c r="F7" s="573"/>
      <c r="G7" s="573"/>
      <c r="H7" s="573"/>
      <c r="I7" s="573"/>
      <c r="J7" s="574"/>
    </row>
    <row r="8" spans="2:10">
      <c r="B8" s="572" t="s">
        <v>1</v>
      </c>
      <c r="C8" s="573"/>
      <c r="D8" s="573"/>
      <c r="E8" s="573"/>
      <c r="F8" s="573"/>
      <c r="G8" s="573"/>
      <c r="H8" s="573"/>
      <c r="I8" s="573"/>
      <c r="J8" s="574"/>
    </row>
    <row r="9" spans="2:10">
      <c r="B9" s="40"/>
      <c r="C9" s="41"/>
      <c r="D9" s="41"/>
      <c r="E9" s="41"/>
      <c r="F9" s="41"/>
      <c r="G9" s="41"/>
      <c r="H9" s="41"/>
      <c r="I9" s="41"/>
      <c r="J9" s="39"/>
    </row>
    <row r="10" spans="2:10">
      <c r="B10" s="40"/>
      <c r="C10" s="41"/>
      <c r="D10" s="41"/>
      <c r="E10" s="41"/>
      <c r="F10" s="41"/>
      <c r="G10" s="41"/>
      <c r="H10" s="41"/>
      <c r="I10" s="41"/>
      <c r="J10" s="39"/>
    </row>
    <row r="11" spans="2:10">
      <c r="B11" s="40"/>
      <c r="C11" s="41"/>
      <c r="D11" s="41"/>
      <c r="E11" s="41"/>
      <c r="F11" s="41"/>
      <c r="G11" s="41"/>
      <c r="H11" s="41"/>
      <c r="I11" s="41"/>
      <c r="J11" s="39"/>
    </row>
    <row r="12" spans="2:10">
      <c r="B12" s="40"/>
      <c r="C12" s="41"/>
      <c r="D12" s="41"/>
      <c r="E12" s="41"/>
      <c r="F12" s="41"/>
      <c r="G12" s="41"/>
      <c r="H12" s="41"/>
      <c r="I12" s="41"/>
      <c r="J12" s="39"/>
    </row>
    <row r="13" spans="2:10">
      <c r="B13" s="40"/>
      <c r="C13" s="41"/>
      <c r="D13" s="41"/>
      <c r="E13" s="41"/>
      <c r="F13" s="41"/>
      <c r="G13" s="41"/>
      <c r="H13" s="41"/>
      <c r="I13" s="41"/>
      <c r="J13" s="39"/>
    </row>
    <row r="14" spans="2:10">
      <c r="B14" s="40"/>
      <c r="C14" s="41"/>
      <c r="D14" s="41"/>
      <c r="E14" s="41"/>
      <c r="F14" s="41"/>
      <c r="G14" s="41"/>
      <c r="H14" s="41"/>
      <c r="I14" s="41"/>
      <c r="J14" s="39"/>
    </row>
    <row r="15" spans="2:10">
      <c r="B15" s="40"/>
      <c r="C15" s="41"/>
      <c r="D15" s="41"/>
      <c r="E15" s="41"/>
      <c r="F15" s="41"/>
      <c r="G15" s="41"/>
      <c r="H15" s="41"/>
      <c r="I15" s="41"/>
      <c r="J15" s="39"/>
    </row>
    <row r="16" spans="2:10">
      <c r="B16" s="40"/>
      <c r="C16" s="41"/>
      <c r="D16" s="41"/>
      <c r="E16" s="41"/>
      <c r="F16" s="41"/>
      <c r="G16" s="41"/>
      <c r="H16" s="41"/>
      <c r="I16" s="41"/>
      <c r="J16" s="39"/>
    </row>
    <row r="17" spans="2:10">
      <c r="B17" s="40"/>
      <c r="C17" s="41"/>
      <c r="D17" s="41"/>
      <c r="E17" s="41"/>
      <c r="F17" s="41"/>
      <c r="G17" s="41"/>
      <c r="H17" s="41"/>
      <c r="I17" s="41"/>
      <c r="J17" s="39"/>
    </row>
    <row r="18" spans="2:10">
      <c r="B18" s="40"/>
      <c r="C18" s="41"/>
      <c r="D18" s="41"/>
      <c r="E18" s="41"/>
      <c r="F18" s="41"/>
      <c r="G18" s="41"/>
      <c r="H18" s="41"/>
      <c r="I18" s="41"/>
      <c r="J18" s="39"/>
    </row>
    <row r="19" spans="2:10">
      <c r="B19" s="40"/>
      <c r="C19" s="41"/>
      <c r="D19" s="41"/>
      <c r="E19" s="41"/>
      <c r="F19" s="41"/>
      <c r="G19" s="41"/>
      <c r="H19" s="41"/>
      <c r="I19" s="41"/>
      <c r="J19" s="39"/>
    </row>
    <row r="20" spans="2:10">
      <c r="B20" s="40"/>
      <c r="C20" s="41"/>
      <c r="D20" s="41"/>
      <c r="E20" s="41"/>
      <c r="F20" s="41"/>
      <c r="G20" s="41"/>
      <c r="H20" s="41"/>
      <c r="I20" s="41"/>
      <c r="J20" s="39"/>
    </row>
    <row r="21" spans="2:10">
      <c r="B21" s="40"/>
      <c r="C21" s="41"/>
      <c r="D21" s="41"/>
      <c r="E21" s="41"/>
      <c r="F21" s="41"/>
      <c r="G21" s="41"/>
      <c r="H21" s="41"/>
      <c r="I21" s="41"/>
      <c r="J21" s="39"/>
    </row>
    <row r="22" spans="2:10">
      <c r="B22" s="40"/>
      <c r="C22" s="41"/>
      <c r="D22" s="41"/>
      <c r="E22" s="41"/>
      <c r="F22" s="41"/>
      <c r="G22" s="41"/>
      <c r="H22" s="41"/>
      <c r="I22" s="41"/>
      <c r="J22" s="39"/>
    </row>
    <row r="23" spans="2:10">
      <c r="B23" s="572" t="s">
        <v>76</v>
      </c>
      <c r="C23" s="573"/>
      <c r="D23" s="573"/>
      <c r="E23" s="573"/>
      <c r="F23" s="573"/>
      <c r="G23" s="573"/>
      <c r="H23" s="573"/>
      <c r="I23" s="573"/>
      <c r="J23" s="574"/>
    </row>
    <row r="24" spans="2:10">
      <c r="B24" s="40"/>
      <c r="C24" s="41"/>
      <c r="D24" s="41"/>
      <c r="E24" s="41"/>
      <c r="F24" s="41"/>
      <c r="G24" s="41"/>
      <c r="H24" s="41"/>
      <c r="I24" s="41"/>
      <c r="J24" s="39"/>
    </row>
    <row r="25" spans="2:10" ht="33" customHeight="1">
      <c r="B25" s="575" t="s">
        <v>2</v>
      </c>
      <c r="C25" s="576"/>
      <c r="D25" s="576"/>
      <c r="E25" s="576"/>
      <c r="F25" s="576"/>
      <c r="G25" s="576"/>
      <c r="H25" s="576"/>
      <c r="I25" s="576"/>
      <c r="J25" s="577"/>
    </row>
    <row r="26" spans="2:10">
      <c r="B26" s="572"/>
      <c r="C26" s="573"/>
      <c r="D26" s="573"/>
      <c r="E26" s="573"/>
      <c r="F26" s="573"/>
      <c r="G26" s="573"/>
      <c r="H26" s="573"/>
      <c r="I26" s="573"/>
      <c r="J26" s="574"/>
    </row>
    <row r="27" spans="2:10" ht="30" customHeight="1">
      <c r="B27" s="578" t="s">
        <v>77</v>
      </c>
      <c r="C27" s="579"/>
      <c r="D27" s="579"/>
      <c r="E27" s="579"/>
      <c r="F27" s="579"/>
      <c r="G27" s="579"/>
      <c r="H27" s="579"/>
      <c r="I27" s="579"/>
      <c r="J27" s="580"/>
    </row>
    <row r="28" spans="2:10" ht="13.5" customHeight="1">
      <c r="B28" s="42"/>
      <c r="C28" s="43"/>
      <c r="D28" s="43"/>
      <c r="E28" s="43"/>
      <c r="F28" s="43"/>
      <c r="G28" s="43"/>
      <c r="H28" s="43"/>
      <c r="I28" s="43"/>
      <c r="J28" s="44"/>
    </row>
    <row r="29" spans="2:10" ht="18.75" customHeight="1">
      <c r="B29" s="567" t="s">
        <v>78</v>
      </c>
      <c r="C29" s="568"/>
      <c r="D29" s="568"/>
      <c r="E29" s="568"/>
      <c r="F29" s="568"/>
      <c r="G29" s="568"/>
      <c r="H29" s="568"/>
      <c r="I29" s="568"/>
      <c r="J29" s="569"/>
    </row>
    <row r="30" spans="2:10">
      <c r="B30" s="45"/>
      <c r="C30" s="46"/>
      <c r="D30" s="38"/>
      <c r="E30" s="38"/>
      <c r="F30" s="38"/>
      <c r="G30" s="38"/>
      <c r="H30" s="38"/>
      <c r="I30" s="38"/>
      <c r="J30" s="39"/>
    </row>
    <row r="31" spans="2:10" ht="14.25" customHeight="1">
      <c r="B31" s="570" t="s">
        <v>79</v>
      </c>
      <c r="C31" s="571"/>
      <c r="D31" s="571"/>
      <c r="E31" s="47" t="s">
        <v>80</v>
      </c>
      <c r="F31" s="47"/>
      <c r="G31" s="47"/>
      <c r="H31" s="47"/>
      <c r="I31" s="47"/>
      <c r="J31" s="48"/>
    </row>
    <row r="32" spans="2:10" ht="14.25" customHeight="1">
      <c r="B32" s="49"/>
      <c r="C32" s="50"/>
      <c r="D32" s="50"/>
      <c r="E32" s="50"/>
      <c r="F32" s="50"/>
      <c r="G32" s="50"/>
      <c r="H32" s="50"/>
      <c r="I32" s="50"/>
      <c r="J32" s="51"/>
    </row>
    <row r="33" spans="2:10" ht="15.75" thickBot="1">
      <c r="B33" s="52"/>
      <c r="C33" s="53"/>
      <c r="D33" s="53"/>
      <c r="E33" s="53"/>
      <c r="F33" s="53"/>
      <c r="G33" s="53"/>
      <c r="H33" s="53"/>
      <c r="I33" s="53"/>
      <c r="J33" s="54"/>
    </row>
  </sheetData>
  <mergeCells count="8">
    <mergeCell ref="B29:J29"/>
    <mergeCell ref="B31:D31"/>
    <mergeCell ref="B7:J7"/>
    <mergeCell ref="B8:J8"/>
    <mergeCell ref="B23:J23"/>
    <mergeCell ref="B25:J25"/>
    <mergeCell ref="B26:J26"/>
    <mergeCell ref="B27:J27"/>
  </mergeCells>
  <hyperlinks>
    <hyperlink ref="E31" r:id="rId1" xr:uid="{AB33692F-1DB5-48D8-8757-6DB15425872F}"/>
  </hyperlinks>
  <pageMargins left="0.7" right="0.7" top="0.75" bottom="0.75" header="0.3" footer="0.3"/>
  <pageSetup scale="88"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6420B-8135-41CE-A404-4371A702F3C9}">
  <dimension ref="B1:AA36"/>
  <sheetViews>
    <sheetView topLeftCell="H1" zoomScaleNormal="100" workbookViewId="0">
      <selection activeCell="B88" sqref="B88:K88"/>
    </sheetView>
  </sheetViews>
  <sheetFormatPr defaultColWidth="8.7109375" defaultRowHeight="12.75"/>
  <cols>
    <col min="2" max="2" width="8.7109375" style="223"/>
    <col min="3" max="5" width="8.7109375" style="228"/>
    <col min="10" max="12" width="8.7109375" style="223"/>
  </cols>
  <sheetData>
    <row r="1" spans="6:27">
      <c r="I1" t="s">
        <v>313</v>
      </c>
      <c r="O1" s="165"/>
      <c r="P1" s="165"/>
      <c r="Q1" s="165"/>
      <c r="R1" s="165"/>
      <c r="S1" s="165"/>
      <c r="T1" s="165"/>
      <c r="U1" s="165"/>
      <c r="V1" s="165"/>
      <c r="W1" s="165"/>
      <c r="X1" s="165"/>
      <c r="Y1" s="165"/>
      <c r="Z1" s="165"/>
      <c r="AA1" s="165"/>
    </row>
    <row r="2" spans="6:27" ht="18">
      <c r="F2" s="223"/>
      <c r="G2" s="223"/>
      <c r="H2" s="223"/>
      <c r="I2" s="223" t="s">
        <v>85</v>
      </c>
      <c r="J2" s="223" t="s">
        <v>295</v>
      </c>
      <c r="K2" s="223" t="s">
        <v>314</v>
      </c>
      <c r="O2" s="165"/>
      <c r="P2" s="221" t="s">
        <v>315</v>
      </c>
      <c r="Q2" s="165"/>
      <c r="R2" s="165"/>
      <c r="S2" s="165"/>
      <c r="T2" s="165"/>
      <c r="U2" s="165"/>
      <c r="V2" s="165"/>
      <c r="W2" s="165"/>
      <c r="X2" s="165"/>
      <c r="Y2" s="165"/>
      <c r="Z2" s="165"/>
      <c r="AA2" s="165"/>
    </row>
    <row r="3" spans="6:27">
      <c r="G3" s="223"/>
      <c r="H3" s="224" t="s">
        <v>316</v>
      </c>
      <c r="I3" s="225">
        <v>5</v>
      </c>
      <c r="J3" s="225">
        <v>11</v>
      </c>
      <c r="K3" s="225">
        <v>1</v>
      </c>
      <c r="O3" s="165"/>
      <c r="P3" s="165"/>
      <c r="Q3" s="165"/>
      <c r="R3" s="165"/>
      <c r="S3" s="165"/>
      <c r="T3" s="165"/>
      <c r="U3" s="165"/>
      <c r="V3" s="165"/>
      <c r="W3" s="165"/>
      <c r="X3" s="165"/>
      <c r="Y3" s="165"/>
      <c r="Z3" s="165"/>
      <c r="AA3" s="165"/>
    </row>
    <row r="4" spans="6:27">
      <c r="G4" s="223"/>
      <c r="H4" s="224" t="s">
        <v>317</v>
      </c>
      <c r="I4" s="225">
        <v>6</v>
      </c>
      <c r="J4" s="225">
        <v>10</v>
      </c>
      <c r="K4" s="225">
        <v>4</v>
      </c>
      <c r="O4" s="165"/>
      <c r="P4" s="165"/>
      <c r="Q4" s="165"/>
      <c r="R4" s="165"/>
      <c r="S4" s="165"/>
      <c r="T4" s="165"/>
      <c r="U4" s="165"/>
      <c r="V4" s="165"/>
      <c r="W4" s="165"/>
      <c r="X4" s="165"/>
      <c r="Y4" s="165"/>
      <c r="Z4" s="165"/>
      <c r="AA4" s="165"/>
    </row>
    <row r="5" spans="6:27">
      <c r="G5" s="223"/>
      <c r="H5" s="226" t="s">
        <v>318</v>
      </c>
      <c r="I5" s="225">
        <v>2</v>
      </c>
      <c r="J5" s="225">
        <v>2</v>
      </c>
      <c r="K5" s="225">
        <v>0</v>
      </c>
      <c r="O5" s="165"/>
      <c r="P5" s="165"/>
      <c r="Q5" s="165"/>
      <c r="R5" s="165"/>
      <c r="S5" s="165"/>
      <c r="T5" s="165"/>
      <c r="U5" s="165"/>
      <c r="V5" s="165"/>
      <c r="W5" s="165"/>
      <c r="X5" s="165"/>
      <c r="Y5" s="165"/>
      <c r="Z5" s="165"/>
      <c r="AA5" s="165"/>
    </row>
    <row r="6" spans="6:27">
      <c r="H6" s="224" t="s">
        <v>319</v>
      </c>
      <c r="I6" s="225">
        <v>13</v>
      </c>
      <c r="J6" s="225">
        <v>23</v>
      </c>
      <c r="K6" s="225">
        <v>5</v>
      </c>
      <c r="O6" s="165"/>
      <c r="P6" s="165"/>
      <c r="Q6" s="165"/>
      <c r="R6" s="165"/>
      <c r="S6" s="165"/>
      <c r="T6" s="165"/>
      <c r="U6" s="165"/>
      <c r="V6" s="165"/>
      <c r="W6" s="165"/>
      <c r="X6" s="165"/>
      <c r="Y6" s="165"/>
      <c r="Z6" s="165"/>
      <c r="AA6" s="165"/>
    </row>
    <row r="7" spans="6:27">
      <c r="O7" s="165"/>
      <c r="P7" s="165"/>
      <c r="Q7" s="165"/>
      <c r="R7" s="165"/>
      <c r="S7" s="165"/>
      <c r="T7" s="165"/>
      <c r="U7" s="165"/>
      <c r="V7" s="165"/>
      <c r="W7" s="165"/>
      <c r="X7" s="165"/>
      <c r="Y7" s="165"/>
      <c r="Z7" s="165"/>
      <c r="AA7" s="165"/>
    </row>
    <row r="8" spans="6:27">
      <c r="H8" s="224" t="s">
        <v>320</v>
      </c>
      <c r="O8" s="165"/>
      <c r="P8" s="165"/>
      <c r="Q8" s="165"/>
      <c r="R8" s="165"/>
      <c r="S8" s="165"/>
      <c r="T8" s="165"/>
      <c r="U8" s="165"/>
      <c r="V8" s="165"/>
      <c r="W8" s="165"/>
      <c r="X8" s="165"/>
      <c r="Y8" s="165"/>
      <c r="Z8" s="165"/>
      <c r="AA8" s="165"/>
    </row>
    <row r="9" spans="6:27">
      <c r="I9" s="223" t="s">
        <v>321</v>
      </c>
      <c r="J9" s="223" t="s">
        <v>322</v>
      </c>
      <c r="K9" s="223" t="s">
        <v>323</v>
      </c>
      <c r="O9" s="165"/>
      <c r="P9" s="165"/>
      <c r="Q9" s="165"/>
      <c r="R9" s="165"/>
      <c r="S9" s="165"/>
      <c r="T9" s="165"/>
      <c r="U9" s="165"/>
      <c r="V9" s="165"/>
      <c r="W9" s="165"/>
      <c r="X9" s="165"/>
      <c r="Y9" s="165"/>
      <c r="Z9" s="165"/>
      <c r="AA9" s="165"/>
    </row>
    <row r="10" spans="6:27">
      <c r="H10" s="224" t="s">
        <v>316</v>
      </c>
      <c r="I10" s="227">
        <f t="shared" ref="I10:K12" si="0">I3/I$6*100</f>
        <v>38.461538461538467</v>
      </c>
      <c r="J10" s="227">
        <f t="shared" si="0"/>
        <v>47.826086956521742</v>
      </c>
      <c r="K10" s="227">
        <f t="shared" si="0"/>
        <v>20</v>
      </c>
      <c r="O10" s="165"/>
      <c r="P10" s="165"/>
      <c r="Q10" s="165"/>
      <c r="R10" s="165"/>
      <c r="S10" s="165"/>
      <c r="T10" s="165"/>
      <c r="U10" s="165"/>
      <c r="V10" s="165"/>
      <c r="W10" s="165"/>
      <c r="X10" s="165"/>
      <c r="Y10" s="165"/>
      <c r="Z10" s="165"/>
      <c r="AA10" s="165"/>
    </row>
    <row r="11" spans="6:27">
      <c r="H11" s="224" t="s">
        <v>317</v>
      </c>
      <c r="I11" s="227">
        <f t="shared" si="0"/>
        <v>46.153846153846153</v>
      </c>
      <c r="J11" s="227">
        <f t="shared" si="0"/>
        <v>43.478260869565219</v>
      </c>
      <c r="K11" s="227">
        <f t="shared" si="0"/>
        <v>80</v>
      </c>
      <c r="O11" s="165"/>
      <c r="P11" s="165"/>
      <c r="Q11" s="165"/>
      <c r="R11" s="165"/>
      <c r="S11" s="165"/>
      <c r="T11" s="165"/>
      <c r="U11" s="165"/>
      <c r="V11" s="165"/>
      <c r="W11" s="165"/>
      <c r="X11" s="165"/>
      <c r="Y11" s="165"/>
      <c r="Z11" s="165"/>
      <c r="AA11" s="165"/>
    </row>
    <row r="12" spans="6:27">
      <c r="H12" s="224" t="s">
        <v>318</v>
      </c>
      <c r="I12" s="227">
        <f t="shared" si="0"/>
        <v>15.384615384615385</v>
      </c>
      <c r="J12" s="227">
        <f t="shared" si="0"/>
        <v>8.695652173913043</v>
      </c>
      <c r="K12" s="227">
        <f t="shared" si="0"/>
        <v>0</v>
      </c>
      <c r="O12" s="165"/>
      <c r="P12" s="165"/>
      <c r="Q12" s="165"/>
      <c r="R12" s="165"/>
      <c r="S12" s="165"/>
      <c r="T12" s="165"/>
      <c r="U12" s="165"/>
      <c r="V12" s="165"/>
      <c r="W12" s="165"/>
      <c r="X12" s="165"/>
      <c r="Y12" s="165"/>
      <c r="Z12" s="165"/>
      <c r="AA12" s="165"/>
    </row>
    <row r="13" spans="6:27">
      <c r="O13" s="165"/>
      <c r="P13" s="165"/>
      <c r="Q13" s="165"/>
      <c r="R13" s="165"/>
      <c r="S13" s="165"/>
      <c r="T13" s="165"/>
      <c r="U13" s="165"/>
      <c r="V13" s="165"/>
      <c r="W13" s="165"/>
      <c r="X13" s="165"/>
      <c r="Y13" s="165"/>
      <c r="Z13" s="165"/>
      <c r="AA13" s="165"/>
    </row>
    <row r="14" spans="6:27">
      <c r="O14" s="165"/>
      <c r="P14" s="165"/>
      <c r="Q14" s="165"/>
      <c r="R14" s="165"/>
      <c r="S14" s="165"/>
      <c r="T14" s="165"/>
      <c r="U14" s="165"/>
      <c r="V14" s="165"/>
      <c r="W14" s="165"/>
      <c r="X14" s="165"/>
      <c r="Y14" s="165"/>
      <c r="Z14" s="165"/>
      <c r="AA14" s="165"/>
    </row>
    <row r="15" spans="6:27">
      <c r="O15" s="165"/>
      <c r="P15" s="165"/>
      <c r="Q15" s="165"/>
      <c r="R15" s="165"/>
      <c r="S15" s="165"/>
      <c r="T15" s="165"/>
      <c r="U15" s="165"/>
      <c r="V15" s="165"/>
      <c r="W15" s="165"/>
      <c r="X15" s="165"/>
      <c r="Y15" s="165"/>
      <c r="Z15" s="165"/>
      <c r="AA15" s="165"/>
    </row>
    <row r="16" spans="6:27">
      <c r="O16" s="165"/>
      <c r="P16" s="165"/>
      <c r="Q16" s="165"/>
      <c r="R16" s="165"/>
      <c r="S16" s="165"/>
      <c r="T16" s="165"/>
      <c r="U16" s="165"/>
      <c r="V16" s="165"/>
      <c r="W16" s="165"/>
      <c r="X16" s="165"/>
      <c r="Y16" s="165"/>
      <c r="Z16" s="165"/>
      <c r="AA16" s="165"/>
    </row>
    <row r="17" spans="8:27">
      <c r="I17" s="223"/>
      <c r="O17" s="165"/>
      <c r="P17" s="165"/>
      <c r="Q17" s="165"/>
      <c r="R17" s="165"/>
      <c r="S17" s="165"/>
      <c r="T17" s="165"/>
      <c r="U17" s="165"/>
      <c r="V17" s="165"/>
      <c r="W17" s="165"/>
      <c r="X17" s="165"/>
      <c r="Y17" s="165"/>
      <c r="Z17" s="165"/>
      <c r="AA17" s="165"/>
    </row>
    <row r="18" spans="8:27">
      <c r="H18" s="224"/>
      <c r="O18" s="165"/>
      <c r="P18" s="165"/>
      <c r="Q18" s="165"/>
      <c r="R18" s="165"/>
      <c r="S18" s="165"/>
      <c r="T18" s="165"/>
      <c r="U18" s="165"/>
      <c r="V18" s="165"/>
      <c r="W18" s="165"/>
      <c r="X18" s="165"/>
      <c r="Y18" s="165"/>
      <c r="Z18" s="165"/>
      <c r="AA18" s="165"/>
    </row>
    <row r="19" spans="8:27">
      <c r="H19" s="224"/>
      <c r="O19" s="165"/>
      <c r="P19" s="165"/>
      <c r="Q19" s="165"/>
      <c r="R19" s="165"/>
      <c r="S19" s="165"/>
      <c r="T19" s="165"/>
      <c r="U19" s="165"/>
      <c r="V19" s="165"/>
      <c r="W19" s="165"/>
      <c r="X19" s="165"/>
      <c r="Y19" s="165"/>
      <c r="Z19" s="165"/>
      <c r="AA19" s="165"/>
    </row>
    <row r="20" spans="8:27">
      <c r="H20" s="226"/>
      <c r="O20" s="165"/>
      <c r="P20" s="165"/>
      <c r="Q20" s="165"/>
      <c r="R20" s="165"/>
      <c r="S20" s="165"/>
      <c r="T20" s="165"/>
      <c r="U20" s="165"/>
      <c r="V20" s="165"/>
      <c r="W20" s="165"/>
      <c r="X20" s="165"/>
      <c r="Y20" s="165"/>
      <c r="Z20" s="165"/>
      <c r="AA20" s="165"/>
    </row>
    <row r="21" spans="8:27">
      <c r="H21" s="224"/>
      <c r="O21" s="165"/>
      <c r="P21" s="165"/>
      <c r="Q21" s="165"/>
      <c r="R21" s="165"/>
      <c r="S21" s="165"/>
      <c r="T21" s="165"/>
      <c r="U21" s="165"/>
      <c r="V21" s="165"/>
      <c r="W21" s="165"/>
      <c r="X21" s="165"/>
      <c r="Y21" s="165"/>
      <c r="Z21" s="165"/>
      <c r="AA21" s="165"/>
    </row>
    <row r="22" spans="8:27">
      <c r="O22" s="165"/>
      <c r="P22" s="165"/>
      <c r="Q22" s="165"/>
      <c r="R22" s="165"/>
      <c r="S22" s="165"/>
      <c r="T22" s="165"/>
      <c r="U22" s="165"/>
      <c r="V22" s="165"/>
      <c r="W22" s="165"/>
      <c r="X22" s="165"/>
      <c r="Y22" s="165"/>
      <c r="Z22" s="165"/>
      <c r="AA22" s="165"/>
    </row>
    <row r="23" spans="8:27">
      <c r="O23" s="165"/>
      <c r="P23" s="165"/>
      <c r="Q23" s="165"/>
      <c r="R23" s="165"/>
      <c r="S23" s="165"/>
      <c r="T23" s="165"/>
      <c r="U23" s="165"/>
      <c r="V23" s="165"/>
      <c r="W23" s="165"/>
      <c r="X23" s="165"/>
      <c r="Y23" s="165"/>
      <c r="Z23" s="165"/>
      <c r="AA23" s="165"/>
    </row>
    <row r="24" spans="8:27">
      <c r="O24" s="165"/>
      <c r="P24" s="165"/>
      <c r="Q24" s="165"/>
      <c r="R24" s="165"/>
      <c r="S24" s="165"/>
      <c r="T24" s="165"/>
      <c r="U24" s="165"/>
      <c r="V24" s="165"/>
      <c r="W24" s="165"/>
      <c r="X24" s="165"/>
      <c r="Y24" s="165"/>
      <c r="Z24" s="165"/>
      <c r="AA24" s="165"/>
    </row>
    <row r="25" spans="8:27">
      <c r="O25" s="165"/>
      <c r="P25" s="165"/>
      <c r="Q25" s="165"/>
      <c r="R25" s="165"/>
      <c r="S25" s="165"/>
      <c r="T25" s="165"/>
      <c r="U25" s="165"/>
      <c r="V25" s="165"/>
      <c r="W25" s="165"/>
      <c r="X25" s="165"/>
      <c r="Y25" s="165"/>
      <c r="Z25" s="165"/>
      <c r="AA25" s="165"/>
    </row>
    <row r="26" spans="8:27">
      <c r="O26" s="165"/>
      <c r="P26" s="165"/>
      <c r="Q26" s="165"/>
      <c r="R26" s="165"/>
      <c r="S26" s="165"/>
      <c r="T26" s="165"/>
      <c r="U26" s="165"/>
      <c r="V26" s="165"/>
      <c r="W26" s="165"/>
      <c r="X26" s="165"/>
      <c r="Y26" s="165"/>
      <c r="Z26" s="165"/>
      <c r="AA26" s="165"/>
    </row>
    <row r="27" spans="8:27">
      <c r="O27" s="165"/>
      <c r="P27" s="165"/>
      <c r="Q27" s="165"/>
      <c r="R27" s="165"/>
      <c r="S27" s="165"/>
      <c r="T27" s="165"/>
      <c r="U27" s="165"/>
      <c r="V27" s="165"/>
      <c r="W27" s="165"/>
      <c r="X27" s="165"/>
      <c r="Y27" s="165"/>
      <c r="Z27" s="165"/>
      <c r="AA27" s="165"/>
    </row>
    <row r="28" spans="8:27">
      <c r="O28" s="165"/>
      <c r="P28" s="165"/>
      <c r="Q28" s="165"/>
      <c r="R28" s="165"/>
      <c r="S28" s="165"/>
      <c r="T28" s="165"/>
      <c r="U28" s="165"/>
      <c r="V28" s="165"/>
      <c r="W28" s="165"/>
      <c r="X28" s="165"/>
      <c r="Y28" s="165"/>
      <c r="Z28" s="165"/>
      <c r="AA28" s="165"/>
    </row>
    <row r="29" spans="8:27">
      <c r="O29" s="165"/>
      <c r="P29" s="165"/>
      <c r="Q29" s="165"/>
      <c r="R29" s="165"/>
      <c r="S29" s="165"/>
      <c r="T29" s="165"/>
      <c r="U29" s="165"/>
      <c r="V29" s="165"/>
      <c r="W29" s="165"/>
      <c r="X29" s="165"/>
      <c r="Y29" s="165"/>
      <c r="Z29" s="165"/>
      <c r="AA29" s="165"/>
    </row>
    <row r="30" spans="8:27">
      <c r="O30" s="165"/>
      <c r="P30" s="165"/>
      <c r="Q30" s="165"/>
      <c r="R30" s="165"/>
      <c r="S30" s="165"/>
      <c r="T30" s="165"/>
      <c r="U30" s="165"/>
      <c r="V30" s="165"/>
      <c r="W30" s="165"/>
      <c r="X30" s="165"/>
      <c r="Y30" s="165"/>
      <c r="Z30" s="165"/>
      <c r="AA30" s="165"/>
    </row>
    <row r="31" spans="8:27">
      <c r="O31" s="165"/>
      <c r="P31" s="165"/>
      <c r="Q31" s="165"/>
      <c r="R31" s="165"/>
      <c r="S31" s="165"/>
      <c r="T31" s="165"/>
      <c r="U31" s="165"/>
      <c r="V31" s="165"/>
      <c r="W31" s="165"/>
      <c r="X31" s="165"/>
      <c r="Y31" s="165"/>
      <c r="Z31" s="165"/>
      <c r="AA31" s="165"/>
    </row>
    <row r="32" spans="8:27">
      <c r="O32" s="165"/>
      <c r="P32" s="165"/>
      <c r="Q32" s="165"/>
      <c r="R32" s="165"/>
      <c r="S32" s="165"/>
      <c r="T32" s="165"/>
      <c r="U32" s="165"/>
      <c r="V32" s="165"/>
      <c r="W32" s="165"/>
      <c r="X32" s="165"/>
      <c r="Y32" s="165"/>
      <c r="Z32" s="165"/>
      <c r="AA32" s="165"/>
    </row>
    <row r="33" spans="15:27">
      <c r="O33" s="165"/>
      <c r="P33" s="165"/>
      <c r="Q33" s="165"/>
      <c r="R33" s="165"/>
      <c r="S33" s="165"/>
      <c r="T33" s="165"/>
      <c r="U33" s="165"/>
      <c r="V33" s="165"/>
      <c r="W33" s="165"/>
      <c r="X33" s="165"/>
      <c r="Y33" s="165"/>
      <c r="Z33" s="165"/>
      <c r="AA33" s="165"/>
    </row>
    <row r="34" spans="15:27">
      <c r="O34" s="165"/>
      <c r="P34" s="165"/>
      <c r="Q34" s="165"/>
      <c r="R34" s="165"/>
      <c r="S34" s="165"/>
      <c r="T34" s="165"/>
      <c r="U34" s="165"/>
      <c r="V34" s="165"/>
      <c r="W34" s="165"/>
      <c r="X34" s="165"/>
      <c r="Y34" s="165"/>
      <c r="Z34" s="165"/>
      <c r="AA34" s="165"/>
    </row>
    <row r="35" spans="15:27">
      <c r="O35" s="165"/>
      <c r="P35" s="165"/>
      <c r="Q35" s="165"/>
      <c r="R35" s="165"/>
      <c r="S35" s="165"/>
      <c r="T35" s="165"/>
      <c r="U35" s="165"/>
      <c r="V35" s="165"/>
      <c r="W35" s="165"/>
      <c r="X35" s="165"/>
      <c r="Y35" s="165"/>
      <c r="Z35" s="165"/>
      <c r="AA35" s="165"/>
    </row>
    <row r="36" spans="15:27">
      <c r="O36" s="165"/>
      <c r="P36" s="165"/>
      <c r="Q36" s="165"/>
      <c r="R36" s="165"/>
      <c r="S36" s="165"/>
      <c r="T36" s="165"/>
      <c r="U36" s="165"/>
      <c r="V36" s="165"/>
      <c r="W36" s="165"/>
      <c r="X36" s="165"/>
      <c r="Y36" s="165"/>
      <c r="Z36" s="165"/>
      <c r="AA36" s="165"/>
    </row>
  </sheetData>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CED52-B9C9-48D5-8C05-7008AB1C37A7}">
  <dimension ref="A1:I73"/>
  <sheetViews>
    <sheetView topLeftCell="B1" zoomScale="115" zoomScaleNormal="115" workbookViewId="0">
      <selection activeCell="B88" sqref="B88:K88"/>
    </sheetView>
  </sheetViews>
  <sheetFormatPr defaultRowHeight="12.75"/>
  <cols>
    <col min="1" max="1" width="9.140625" style="158"/>
    <col min="2" max="2" width="12.5703125" style="233" bestFit="1" customWidth="1"/>
    <col min="3" max="257" width="9.140625" style="158"/>
    <col min="258" max="258" width="12.5703125" style="158" bestFit="1" customWidth="1"/>
    <col min="259" max="513" width="9.140625" style="158"/>
    <col min="514" max="514" width="12.5703125" style="158" bestFit="1" customWidth="1"/>
    <col min="515" max="769" width="9.140625" style="158"/>
    <col min="770" max="770" width="12.5703125" style="158" bestFit="1" customWidth="1"/>
    <col min="771" max="1025" width="9.140625" style="158"/>
    <col min="1026" max="1026" width="12.5703125" style="158" bestFit="1" customWidth="1"/>
    <col min="1027" max="1281" width="9.140625" style="158"/>
    <col min="1282" max="1282" width="12.5703125" style="158" bestFit="1" customWidth="1"/>
    <col min="1283" max="1537" width="9.140625" style="158"/>
    <col min="1538" max="1538" width="12.5703125" style="158" bestFit="1" customWidth="1"/>
    <col min="1539" max="1793" width="9.140625" style="158"/>
    <col min="1794" max="1794" width="12.5703125" style="158" bestFit="1" customWidth="1"/>
    <col min="1795" max="2049" width="9.140625" style="158"/>
    <col min="2050" max="2050" width="12.5703125" style="158" bestFit="1" customWidth="1"/>
    <col min="2051" max="2305" width="9.140625" style="158"/>
    <col min="2306" max="2306" width="12.5703125" style="158" bestFit="1" customWidth="1"/>
    <col min="2307" max="2561" width="9.140625" style="158"/>
    <col min="2562" max="2562" width="12.5703125" style="158" bestFit="1" customWidth="1"/>
    <col min="2563" max="2817" width="9.140625" style="158"/>
    <col min="2818" max="2818" width="12.5703125" style="158" bestFit="1" customWidth="1"/>
    <col min="2819" max="3073" width="9.140625" style="158"/>
    <col min="3074" max="3074" width="12.5703125" style="158" bestFit="1" customWidth="1"/>
    <col min="3075" max="3329" width="9.140625" style="158"/>
    <col min="3330" max="3330" width="12.5703125" style="158" bestFit="1" customWidth="1"/>
    <col min="3331" max="3585" width="9.140625" style="158"/>
    <col min="3586" max="3586" width="12.5703125" style="158" bestFit="1" customWidth="1"/>
    <col min="3587" max="3841" width="9.140625" style="158"/>
    <col min="3842" max="3842" width="12.5703125" style="158" bestFit="1" customWidth="1"/>
    <col min="3843" max="4097" width="9.140625" style="158"/>
    <col min="4098" max="4098" width="12.5703125" style="158" bestFit="1" customWidth="1"/>
    <col min="4099" max="4353" width="9.140625" style="158"/>
    <col min="4354" max="4354" width="12.5703125" style="158" bestFit="1" customWidth="1"/>
    <col min="4355" max="4609" width="9.140625" style="158"/>
    <col min="4610" max="4610" width="12.5703125" style="158" bestFit="1" customWidth="1"/>
    <col min="4611" max="4865" width="9.140625" style="158"/>
    <col min="4866" max="4866" width="12.5703125" style="158" bestFit="1" customWidth="1"/>
    <col min="4867" max="5121" width="9.140625" style="158"/>
    <col min="5122" max="5122" width="12.5703125" style="158" bestFit="1" customWidth="1"/>
    <col min="5123" max="5377" width="9.140625" style="158"/>
    <col min="5378" max="5378" width="12.5703125" style="158" bestFit="1" customWidth="1"/>
    <col min="5379" max="5633" width="9.140625" style="158"/>
    <col min="5634" max="5634" width="12.5703125" style="158" bestFit="1" customWidth="1"/>
    <col min="5635" max="5889" width="9.140625" style="158"/>
    <col min="5890" max="5890" width="12.5703125" style="158" bestFit="1" customWidth="1"/>
    <col min="5891" max="6145" width="9.140625" style="158"/>
    <col min="6146" max="6146" width="12.5703125" style="158" bestFit="1" customWidth="1"/>
    <col min="6147" max="6401" width="9.140625" style="158"/>
    <col min="6402" max="6402" width="12.5703125" style="158" bestFit="1" customWidth="1"/>
    <col min="6403" max="6657" width="9.140625" style="158"/>
    <col min="6658" max="6658" width="12.5703125" style="158" bestFit="1" customWidth="1"/>
    <col min="6659" max="6913" width="9.140625" style="158"/>
    <col min="6914" max="6914" width="12.5703125" style="158" bestFit="1" customWidth="1"/>
    <col min="6915" max="7169" width="9.140625" style="158"/>
    <col min="7170" max="7170" width="12.5703125" style="158" bestFit="1" customWidth="1"/>
    <col min="7171" max="7425" width="9.140625" style="158"/>
    <col min="7426" max="7426" width="12.5703125" style="158" bestFit="1" customWidth="1"/>
    <col min="7427" max="7681" width="9.140625" style="158"/>
    <col min="7682" max="7682" width="12.5703125" style="158" bestFit="1" customWidth="1"/>
    <col min="7683" max="7937" width="9.140625" style="158"/>
    <col min="7938" max="7938" width="12.5703125" style="158" bestFit="1" customWidth="1"/>
    <col min="7939" max="8193" width="9.140625" style="158"/>
    <col min="8194" max="8194" width="12.5703125" style="158" bestFit="1" customWidth="1"/>
    <col min="8195" max="8449" width="9.140625" style="158"/>
    <col min="8450" max="8450" width="12.5703125" style="158" bestFit="1" customWidth="1"/>
    <col min="8451" max="8705" width="9.140625" style="158"/>
    <col min="8706" max="8706" width="12.5703125" style="158" bestFit="1" customWidth="1"/>
    <col min="8707" max="8961" width="9.140625" style="158"/>
    <col min="8962" max="8962" width="12.5703125" style="158" bestFit="1" customWidth="1"/>
    <col min="8963" max="9217" width="9.140625" style="158"/>
    <col min="9218" max="9218" width="12.5703125" style="158" bestFit="1" customWidth="1"/>
    <col min="9219" max="9473" width="9.140625" style="158"/>
    <col min="9474" max="9474" width="12.5703125" style="158" bestFit="1" customWidth="1"/>
    <col min="9475" max="9729" width="9.140625" style="158"/>
    <col min="9730" max="9730" width="12.5703125" style="158" bestFit="1" customWidth="1"/>
    <col min="9731" max="9985" width="9.140625" style="158"/>
    <col min="9986" max="9986" width="12.5703125" style="158" bestFit="1" customWidth="1"/>
    <col min="9987" max="10241" width="9.140625" style="158"/>
    <col min="10242" max="10242" width="12.5703125" style="158" bestFit="1" customWidth="1"/>
    <col min="10243" max="10497" width="9.140625" style="158"/>
    <col min="10498" max="10498" width="12.5703125" style="158" bestFit="1" customWidth="1"/>
    <col min="10499" max="10753" width="9.140625" style="158"/>
    <col min="10754" max="10754" width="12.5703125" style="158" bestFit="1" customWidth="1"/>
    <col min="10755" max="11009" width="9.140625" style="158"/>
    <col min="11010" max="11010" width="12.5703125" style="158" bestFit="1" customWidth="1"/>
    <col min="11011" max="11265" width="9.140625" style="158"/>
    <col min="11266" max="11266" width="12.5703125" style="158" bestFit="1" customWidth="1"/>
    <col min="11267" max="11521" width="9.140625" style="158"/>
    <col min="11522" max="11522" width="12.5703125" style="158" bestFit="1" customWidth="1"/>
    <col min="11523" max="11777" width="9.140625" style="158"/>
    <col min="11778" max="11778" width="12.5703125" style="158" bestFit="1" customWidth="1"/>
    <col min="11779" max="12033" width="9.140625" style="158"/>
    <col min="12034" max="12034" width="12.5703125" style="158" bestFit="1" customWidth="1"/>
    <col min="12035" max="12289" width="9.140625" style="158"/>
    <col min="12290" max="12290" width="12.5703125" style="158" bestFit="1" customWidth="1"/>
    <col min="12291" max="12545" width="9.140625" style="158"/>
    <col min="12546" max="12546" width="12.5703125" style="158" bestFit="1" customWidth="1"/>
    <col min="12547" max="12801" width="9.140625" style="158"/>
    <col min="12802" max="12802" width="12.5703125" style="158" bestFit="1" customWidth="1"/>
    <col min="12803" max="13057" width="9.140625" style="158"/>
    <col min="13058" max="13058" width="12.5703125" style="158" bestFit="1" customWidth="1"/>
    <col min="13059" max="13313" width="9.140625" style="158"/>
    <col min="13314" max="13314" width="12.5703125" style="158" bestFit="1" customWidth="1"/>
    <col min="13315" max="13569" width="9.140625" style="158"/>
    <col min="13570" max="13570" width="12.5703125" style="158" bestFit="1" customWidth="1"/>
    <col min="13571" max="13825" width="9.140625" style="158"/>
    <col min="13826" max="13826" width="12.5703125" style="158" bestFit="1" customWidth="1"/>
    <col min="13827" max="14081" width="9.140625" style="158"/>
    <col min="14082" max="14082" width="12.5703125" style="158" bestFit="1" customWidth="1"/>
    <col min="14083" max="14337" width="9.140625" style="158"/>
    <col min="14338" max="14338" width="12.5703125" style="158" bestFit="1" customWidth="1"/>
    <col min="14339" max="14593" width="9.140625" style="158"/>
    <col min="14594" max="14594" width="12.5703125" style="158" bestFit="1" customWidth="1"/>
    <col min="14595" max="14849" width="9.140625" style="158"/>
    <col min="14850" max="14850" width="12.5703125" style="158" bestFit="1" customWidth="1"/>
    <col min="14851" max="15105" width="9.140625" style="158"/>
    <col min="15106" max="15106" width="12.5703125" style="158" bestFit="1" customWidth="1"/>
    <col min="15107" max="15361" width="9.140625" style="158"/>
    <col min="15362" max="15362" width="12.5703125" style="158" bestFit="1" customWidth="1"/>
    <col min="15363" max="15617" width="9.140625" style="158"/>
    <col min="15618" max="15618" width="12.5703125" style="158" bestFit="1" customWidth="1"/>
    <col min="15619" max="15873" width="9.140625" style="158"/>
    <col min="15874" max="15874" width="12.5703125" style="158" bestFit="1" customWidth="1"/>
    <col min="15875" max="16129" width="9.140625" style="158"/>
    <col min="16130" max="16130" width="12.5703125" style="158" bestFit="1" customWidth="1"/>
    <col min="16131" max="16384" width="9.140625" style="158"/>
  </cols>
  <sheetData>
    <row r="1" spans="1:9">
      <c r="A1" s="229" t="s">
        <v>324</v>
      </c>
      <c r="B1" s="230" t="s">
        <v>325</v>
      </c>
      <c r="C1" s="229" t="s">
        <v>326</v>
      </c>
      <c r="E1" s="229" t="s">
        <v>324</v>
      </c>
      <c r="F1" s="229" t="s">
        <v>327</v>
      </c>
      <c r="H1" s="229" t="s">
        <v>324</v>
      </c>
      <c r="I1" s="229" t="s">
        <v>328</v>
      </c>
    </row>
    <row r="2" spans="1:9">
      <c r="A2" s="229" t="s">
        <v>329</v>
      </c>
      <c r="B2" s="231" t="s">
        <v>330</v>
      </c>
      <c r="C2" s="232">
        <v>7.9994964599609375</v>
      </c>
      <c r="E2" s="158" t="s">
        <v>331</v>
      </c>
      <c r="F2" s="202">
        <v>3.6514508724212646</v>
      </c>
      <c r="H2" s="158" t="s">
        <v>247</v>
      </c>
      <c r="I2" s="202">
        <v>8.7890289723873138E-2</v>
      </c>
    </row>
    <row r="3" spans="1:9">
      <c r="A3" s="229" t="s">
        <v>329</v>
      </c>
      <c r="B3" s="230" t="s">
        <v>332</v>
      </c>
      <c r="C3" s="232">
        <v>8.3263425827026367</v>
      </c>
      <c r="E3" s="158" t="s">
        <v>331</v>
      </c>
      <c r="F3" s="202">
        <v>0.79560649394989014</v>
      </c>
      <c r="H3" s="158" t="s">
        <v>247</v>
      </c>
      <c r="I3" s="202">
        <v>0.18556690216064453</v>
      </c>
    </row>
    <row r="4" spans="1:9">
      <c r="A4" s="229" t="s">
        <v>329</v>
      </c>
      <c r="B4" s="230" t="s">
        <v>333</v>
      </c>
      <c r="C4" s="232">
        <v>8.462611198425293</v>
      </c>
      <c r="E4" s="158" t="s">
        <v>331</v>
      </c>
      <c r="F4" s="202">
        <v>0.90833711624145508</v>
      </c>
      <c r="H4" s="158" t="s">
        <v>247</v>
      </c>
      <c r="I4" s="202">
        <v>0.30451399087905884</v>
      </c>
    </row>
    <row r="5" spans="1:9">
      <c r="A5" s="229" t="s">
        <v>329</v>
      </c>
      <c r="B5" s="230" t="s">
        <v>334</v>
      </c>
      <c r="C5" s="232">
        <v>8.5278339385986328</v>
      </c>
      <c r="E5" s="158" t="s">
        <v>331</v>
      </c>
      <c r="F5" s="202">
        <v>1.2737053632736206</v>
      </c>
      <c r="H5" s="158" t="s">
        <v>247</v>
      </c>
      <c r="I5" s="202">
        <v>0.23356615006923676</v>
      </c>
    </row>
    <row r="6" spans="1:9">
      <c r="A6" s="229" t="s">
        <v>329</v>
      </c>
      <c r="B6" s="230" t="s">
        <v>335</v>
      </c>
      <c r="C6" s="232">
        <v>8.1347970962524414</v>
      </c>
      <c r="E6" s="158" t="s">
        <v>331</v>
      </c>
      <c r="F6" s="202">
        <v>1.9598876237869263</v>
      </c>
      <c r="H6" s="158" t="s">
        <v>247</v>
      </c>
      <c r="I6" s="202">
        <v>0.69524741172790527</v>
      </c>
    </row>
    <row r="7" spans="1:9">
      <c r="A7" s="229" t="s">
        <v>329</v>
      </c>
      <c r="B7" s="230" t="s">
        <v>336</v>
      </c>
      <c r="C7" s="232">
        <v>7.7918415069580078</v>
      </c>
      <c r="E7" s="158" t="s">
        <v>331</v>
      </c>
      <c r="F7" s="202">
        <v>1.9239155054092407</v>
      </c>
      <c r="H7" s="158" t="s">
        <v>247</v>
      </c>
      <c r="I7" s="202">
        <v>0.82267129421234131</v>
      </c>
    </row>
    <row r="8" spans="1:9">
      <c r="A8" s="229" t="s">
        <v>329</v>
      </c>
      <c r="B8" s="230" t="s">
        <v>337</v>
      </c>
      <c r="C8" s="232">
        <v>7.9922733306884766</v>
      </c>
      <c r="E8" s="158" t="s">
        <v>331</v>
      </c>
      <c r="F8" s="202">
        <v>1.7576701641082764</v>
      </c>
      <c r="H8" s="158" t="s">
        <v>247</v>
      </c>
      <c r="I8" s="202">
        <v>0.97081565856933594</v>
      </c>
    </row>
    <row r="9" spans="1:9">
      <c r="A9" s="229" t="s">
        <v>329</v>
      </c>
      <c r="B9" s="230" t="s">
        <v>338</v>
      </c>
      <c r="C9" s="232">
        <v>8.3018007278442383</v>
      </c>
      <c r="E9" s="158" t="s">
        <v>331</v>
      </c>
      <c r="F9" s="202">
        <v>2.2035524845123291</v>
      </c>
      <c r="H9" s="158" t="s">
        <v>247</v>
      </c>
      <c r="I9" s="202">
        <v>1.0667977333068848</v>
      </c>
    </row>
    <row r="10" spans="1:9">
      <c r="A10" s="229" t="s">
        <v>329</v>
      </c>
      <c r="B10" s="230" t="s">
        <v>339</v>
      </c>
      <c r="C10" s="232">
        <v>8.332179069519043</v>
      </c>
      <c r="E10" s="158" t="s">
        <v>331</v>
      </c>
      <c r="F10" s="202">
        <v>1.6098538637161255</v>
      </c>
      <c r="H10" s="158" t="s">
        <v>247</v>
      </c>
      <c r="I10" s="202">
        <v>1.199566125869751</v>
      </c>
    </row>
    <row r="11" spans="1:9">
      <c r="A11" s="229" t="s">
        <v>329</v>
      </c>
      <c r="B11" s="230" t="s">
        <v>340</v>
      </c>
      <c r="C11" s="232">
        <v>8.269618034362793</v>
      </c>
      <c r="E11" s="158" t="s">
        <v>331</v>
      </c>
      <c r="F11" s="202">
        <v>2.054046630859375</v>
      </c>
      <c r="H11" s="158" t="s">
        <v>247</v>
      </c>
      <c r="I11" s="202">
        <v>1.1733722686767578</v>
      </c>
    </row>
    <row r="12" spans="1:9">
      <c r="A12" s="229" t="s">
        <v>329</v>
      </c>
      <c r="B12" s="230" t="s">
        <v>341</v>
      </c>
      <c r="C12" s="232">
        <v>7.8731813430786133</v>
      </c>
      <c r="E12" s="158" t="s">
        <v>331</v>
      </c>
      <c r="F12" s="202">
        <v>1.9714277982711792</v>
      </c>
      <c r="H12" s="158" t="s">
        <v>247</v>
      </c>
      <c r="I12" s="202">
        <v>1.1692605018615723</v>
      </c>
    </row>
    <row r="13" spans="1:9">
      <c r="A13" s="229" t="s">
        <v>329</v>
      </c>
      <c r="B13" s="230" t="s">
        <v>342</v>
      </c>
      <c r="C13" s="232">
        <v>7.659766674041748</v>
      </c>
      <c r="E13" s="158" t="s">
        <v>331</v>
      </c>
      <c r="F13" s="202">
        <v>2.6925873756408691</v>
      </c>
      <c r="H13" s="158" t="s">
        <v>247</v>
      </c>
      <c r="I13" s="202">
        <v>1.4834837913513184</v>
      </c>
    </row>
    <row r="14" spans="1:9">
      <c r="A14" s="229" t="s">
        <v>329</v>
      </c>
      <c r="B14" s="230" t="s">
        <v>343</v>
      </c>
      <c r="C14" s="232">
        <v>7.4785728454589844</v>
      </c>
      <c r="E14" s="158" t="s">
        <v>331</v>
      </c>
      <c r="F14" s="202">
        <v>2.3687961101531982</v>
      </c>
      <c r="H14" s="158" t="s">
        <v>247</v>
      </c>
      <c r="I14" s="202">
        <v>1.5709190368652344</v>
      </c>
    </row>
    <row r="15" spans="1:9">
      <c r="A15" s="229" t="s">
        <v>329</v>
      </c>
      <c r="B15" s="230" t="s">
        <v>344</v>
      </c>
      <c r="C15" s="232">
        <v>7.214271068572998</v>
      </c>
      <c r="E15" s="158" t="s">
        <v>331</v>
      </c>
      <c r="F15" s="202">
        <v>4.2618269920349121</v>
      </c>
      <c r="H15" s="158" t="s">
        <v>247</v>
      </c>
      <c r="I15" s="202">
        <v>1.0587215423583984</v>
      </c>
    </row>
    <row r="16" spans="1:9">
      <c r="A16" s="229" t="s">
        <v>329</v>
      </c>
      <c r="B16" s="230" t="s">
        <v>345</v>
      </c>
      <c r="C16" s="232">
        <v>6.6918926239013672</v>
      </c>
      <c r="E16" s="158" t="s">
        <v>331</v>
      </c>
      <c r="F16" s="202">
        <v>3.0285947322845459</v>
      </c>
      <c r="H16" s="158" t="s">
        <v>247</v>
      </c>
      <c r="I16" s="202">
        <v>1.1227887868881226</v>
      </c>
    </row>
    <row r="17" spans="1:9">
      <c r="A17" s="229" t="s">
        <v>329</v>
      </c>
      <c r="B17" s="230" t="s">
        <v>346</v>
      </c>
      <c r="C17" s="232">
        <v>6.2751955986022949</v>
      </c>
      <c r="E17" s="158" t="s">
        <v>331</v>
      </c>
      <c r="F17" s="202">
        <v>2.2813394069671631</v>
      </c>
      <c r="H17" s="158" t="s">
        <v>247</v>
      </c>
      <c r="I17" s="202">
        <v>1.2650530338287354</v>
      </c>
    </row>
    <row r="18" spans="1:9">
      <c r="A18" s="229" t="s">
        <v>329</v>
      </c>
      <c r="B18" s="230" t="s">
        <v>347</v>
      </c>
      <c r="C18" s="232">
        <v>6.1378974914550781</v>
      </c>
      <c r="E18" s="158" t="s">
        <v>331</v>
      </c>
      <c r="F18" s="202">
        <v>2.0518925189971924</v>
      </c>
      <c r="H18" s="158" t="s">
        <v>247</v>
      </c>
      <c r="I18" s="202">
        <v>1.0394976139068604</v>
      </c>
    </row>
    <row r="19" spans="1:9">
      <c r="A19" s="229" t="s">
        <v>329</v>
      </c>
      <c r="B19" s="230" t="s">
        <v>348</v>
      </c>
      <c r="C19" s="232">
        <v>6.4460830688476563</v>
      </c>
      <c r="E19" s="158" t="s">
        <v>331</v>
      </c>
      <c r="F19" s="202">
        <v>2.5898439884185791</v>
      </c>
      <c r="H19" s="158" t="s">
        <v>247</v>
      </c>
      <c r="I19" s="202">
        <v>1.1346615552902222</v>
      </c>
    </row>
    <row r="20" spans="1:9">
      <c r="A20" s="229" t="s">
        <v>329</v>
      </c>
      <c r="B20" s="230" t="s">
        <v>349</v>
      </c>
      <c r="C20" s="232">
        <v>6.2435507774353027</v>
      </c>
      <c r="E20" s="158" t="s">
        <v>331</v>
      </c>
      <c r="F20" s="202">
        <v>2.6587462425231934</v>
      </c>
      <c r="H20" s="158" t="s">
        <v>247</v>
      </c>
      <c r="I20" s="202">
        <v>1.1558781862258911</v>
      </c>
    </row>
    <row r="21" spans="1:9">
      <c r="A21" s="229" t="s">
        <v>329</v>
      </c>
      <c r="B21" s="230" t="s">
        <v>350</v>
      </c>
      <c r="C21" s="232">
        <v>6.3609700202941895</v>
      </c>
      <c r="E21" s="158" t="s">
        <v>331</v>
      </c>
      <c r="F21" s="202">
        <v>3.328458309173584</v>
      </c>
      <c r="H21" s="158" t="s">
        <v>247</v>
      </c>
      <c r="I21" s="202">
        <v>1.3452451229095459</v>
      </c>
    </row>
    <row r="22" spans="1:9">
      <c r="A22" s="229" t="s">
        <v>329</v>
      </c>
      <c r="B22" s="230" t="s">
        <v>351</v>
      </c>
      <c r="C22" s="232">
        <v>6.3462085723876953</v>
      </c>
      <c r="E22" s="158" t="s">
        <v>331</v>
      </c>
      <c r="F22" s="202">
        <v>4.561274528503418</v>
      </c>
      <c r="H22" s="158" t="s">
        <v>247</v>
      </c>
      <c r="I22" s="202">
        <v>1.4366586208343506</v>
      </c>
    </row>
    <row r="23" spans="1:9">
      <c r="A23" s="229" t="s">
        <v>329</v>
      </c>
      <c r="B23" s="230" t="s">
        <v>352</v>
      </c>
      <c r="C23" s="232">
        <v>6.3063173294067383</v>
      </c>
      <c r="E23" s="158" t="s">
        <v>331</v>
      </c>
      <c r="F23" s="202">
        <v>4.7047977447509766</v>
      </c>
      <c r="H23" s="158" t="s">
        <v>247</v>
      </c>
      <c r="I23" s="202">
        <v>1.1567414999008179</v>
      </c>
    </row>
    <row r="24" spans="1:9">
      <c r="A24" s="229" t="s">
        <v>329</v>
      </c>
      <c r="B24" s="230" t="s">
        <v>353</v>
      </c>
      <c r="C24" s="232">
        <v>6.2454276084899902</v>
      </c>
      <c r="E24" s="158" t="s">
        <v>331</v>
      </c>
      <c r="F24" s="202">
        <v>4.307194709777832</v>
      </c>
      <c r="H24" s="158" t="s">
        <v>247</v>
      </c>
      <c r="I24" s="202">
        <v>0.9767909049987793</v>
      </c>
    </row>
    <row r="25" spans="1:9">
      <c r="A25" s="229" t="s">
        <v>329</v>
      </c>
      <c r="B25" s="230" t="s">
        <v>354</v>
      </c>
      <c r="C25" s="232">
        <v>6.195152759552002</v>
      </c>
      <c r="E25" s="158" t="s">
        <v>331</v>
      </c>
      <c r="F25" s="202">
        <v>4.2769999504089355</v>
      </c>
      <c r="H25" s="158" t="s">
        <v>247</v>
      </c>
      <c r="I25" s="202">
        <v>0.89962494373321533</v>
      </c>
    </row>
    <row r="26" spans="1:9">
      <c r="A26" s="229" t="s">
        <v>329</v>
      </c>
      <c r="B26" s="230" t="s">
        <v>355</v>
      </c>
      <c r="C26" s="232">
        <v>5.9782118797302246</v>
      </c>
      <c r="E26" s="158" t="s">
        <v>331</v>
      </c>
      <c r="F26" s="202">
        <v>3.9370999336242676</v>
      </c>
      <c r="H26" s="158" t="s">
        <v>247</v>
      </c>
      <c r="I26" s="202">
        <v>0.84703588485717773</v>
      </c>
    </row>
    <row r="27" spans="1:9">
      <c r="A27" s="229" t="s">
        <v>329</v>
      </c>
      <c r="B27" s="230" t="s">
        <v>356</v>
      </c>
      <c r="C27" s="232">
        <v>6.020474910736084</v>
      </c>
      <c r="E27" s="158" t="s">
        <v>331</v>
      </c>
      <c r="F27" s="202">
        <v>3.6831357479095459</v>
      </c>
      <c r="H27" s="158" t="s">
        <v>247</v>
      </c>
      <c r="I27" s="202">
        <v>1.2272810935974121</v>
      </c>
    </row>
    <row r="28" spans="1:9">
      <c r="A28" s="229" t="s">
        <v>329</v>
      </c>
      <c r="B28" s="230" t="s">
        <v>357</v>
      </c>
      <c r="C28" s="232">
        <v>6.183039665222168</v>
      </c>
      <c r="E28" s="158" t="s">
        <v>331</v>
      </c>
      <c r="F28" s="202">
        <v>5.5782375335693359</v>
      </c>
      <c r="H28" s="158" t="s">
        <v>247</v>
      </c>
      <c r="I28" s="202">
        <v>1.3519777059555054</v>
      </c>
    </row>
    <row r="29" spans="1:9">
      <c r="A29" s="229" t="s">
        <v>329</v>
      </c>
      <c r="B29" s="230" t="s">
        <v>358</v>
      </c>
      <c r="C29" s="232">
        <v>6.3951501846313477</v>
      </c>
      <c r="E29" s="158" t="s">
        <v>331</v>
      </c>
      <c r="F29" s="202">
        <v>6.6347980499267578</v>
      </c>
      <c r="H29" s="158" t="s">
        <v>247</v>
      </c>
      <c r="I29" s="202">
        <v>1.0565395355224609</v>
      </c>
    </row>
    <row r="30" spans="1:9">
      <c r="A30" s="229" t="s">
        <v>329</v>
      </c>
      <c r="B30" s="230" t="s">
        <v>359</v>
      </c>
      <c r="C30" s="232">
        <v>6.882544994354248</v>
      </c>
      <c r="E30" s="158" t="s">
        <v>331</v>
      </c>
      <c r="F30" s="202">
        <v>7.3891687393188477</v>
      </c>
      <c r="H30" s="158" t="s">
        <v>247</v>
      </c>
      <c r="I30" s="202">
        <v>1.3570809364318848</v>
      </c>
    </row>
    <row r="31" spans="1:9">
      <c r="A31" s="229" t="s">
        <v>329</v>
      </c>
      <c r="B31" s="230" t="s">
        <v>360</v>
      </c>
      <c r="C31" s="232">
        <v>6.7807741165161133</v>
      </c>
      <c r="E31" s="158" t="s">
        <v>331</v>
      </c>
      <c r="F31" s="202">
        <v>7.0935993194580078</v>
      </c>
      <c r="H31" s="158" t="s">
        <v>247</v>
      </c>
      <c r="I31" s="202">
        <v>1.4262359142303467</v>
      </c>
    </row>
    <row r="32" spans="1:9">
      <c r="A32" s="229" t="s">
        <v>329</v>
      </c>
      <c r="B32" s="230" t="s">
        <v>361</v>
      </c>
      <c r="C32" s="232">
        <v>6.9385509490966797</v>
      </c>
      <c r="E32" s="158" t="s">
        <v>331</v>
      </c>
      <c r="F32" s="202">
        <v>7.4499359130859375</v>
      </c>
      <c r="H32" s="158" t="s">
        <v>247</v>
      </c>
      <c r="I32" s="202">
        <v>1.3187884092330933</v>
      </c>
    </row>
    <row r="33" spans="1:9">
      <c r="A33" s="229" t="s">
        <v>329</v>
      </c>
      <c r="B33" s="230" t="s">
        <v>362</v>
      </c>
      <c r="C33" s="232">
        <v>6.954310417175293</v>
      </c>
      <c r="E33" s="158" t="s">
        <v>331</v>
      </c>
      <c r="F33" s="202">
        <v>7.6879997253417969</v>
      </c>
      <c r="H33" s="158" t="s">
        <v>247</v>
      </c>
      <c r="I33" s="202">
        <v>1.1338527202606201</v>
      </c>
    </row>
    <row r="34" spans="1:9">
      <c r="A34" s="229" t="s">
        <v>329</v>
      </c>
      <c r="B34" s="230" t="s">
        <v>363</v>
      </c>
      <c r="C34" s="232">
        <v>7.1517624855041504</v>
      </c>
      <c r="E34" s="158" t="s">
        <v>331</v>
      </c>
      <c r="F34" s="202">
        <v>7.9765229225158691</v>
      </c>
      <c r="H34" s="158" t="s">
        <v>247</v>
      </c>
      <c r="I34" s="202">
        <v>0.92870759963989258</v>
      </c>
    </row>
    <row r="35" spans="1:9">
      <c r="A35" s="229" t="s">
        <v>329</v>
      </c>
      <c r="B35" s="230" t="s">
        <v>364</v>
      </c>
      <c r="C35" s="232">
        <v>7.6171426773071289</v>
      </c>
      <c r="E35" s="158" t="s">
        <v>331</v>
      </c>
      <c r="F35" s="202">
        <v>9.5691261291503906</v>
      </c>
      <c r="H35" s="158" t="s">
        <v>247</v>
      </c>
      <c r="I35" s="202">
        <v>1.2093824148178101</v>
      </c>
    </row>
    <row r="36" spans="1:9">
      <c r="A36" s="229" t="s">
        <v>329</v>
      </c>
      <c r="B36" s="230" t="s">
        <v>365</v>
      </c>
      <c r="C36" s="232">
        <v>8.6856517791748047</v>
      </c>
      <c r="E36" s="158" t="s">
        <v>331</v>
      </c>
      <c r="F36" s="202">
        <v>11.075431823730469</v>
      </c>
      <c r="H36" s="158" t="s">
        <v>247</v>
      </c>
      <c r="I36" s="202">
        <v>1.4108588695526123</v>
      </c>
    </row>
    <row r="37" spans="1:9">
      <c r="A37" s="229" t="s">
        <v>329</v>
      </c>
      <c r="B37" s="230" t="s">
        <v>366</v>
      </c>
      <c r="C37" s="232">
        <v>9.3426799774169922</v>
      </c>
      <c r="E37" s="158" t="s">
        <v>331</v>
      </c>
      <c r="F37" s="202">
        <v>10.944892883300781</v>
      </c>
      <c r="H37" s="158" t="s">
        <v>247</v>
      </c>
      <c r="I37" s="202">
        <v>1.3420841693878174</v>
      </c>
    </row>
    <row r="38" spans="1:9">
      <c r="A38" s="229" t="s">
        <v>329</v>
      </c>
      <c r="B38" s="230" t="s">
        <v>367</v>
      </c>
      <c r="C38" s="232">
        <v>9.5779571533203125</v>
      </c>
      <c r="E38" s="158" t="s">
        <v>331</v>
      </c>
      <c r="F38" s="202">
        <v>12.536205291748047</v>
      </c>
      <c r="H38" s="158" t="s">
        <v>247</v>
      </c>
      <c r="I38" s="202">
        <v>1.3954834938049316</v>
      </c>
    </row>
    <row r="39" spans="1:9">
      <c r="A39" s="229" t="s">
        <v>329</v>
      </c>
      <c r="B39" s="230" t="s">
        <v>368</v>
      </c>
      <c r="C39" s="232">
        <v>9.4988584518432617</v>
      </c>
      <c r="E39" s="158" t="s">
        <v>331</v>
      </c>
      <c r="F39" s="202">
        <v>12.917453765869141</v>
      </c>
      <c r="H39" s="158" t="s">
        <v>247</v>
      </c>
      <c r="I39" s="202">
        <v>1.3451303243637085</v>
      </c>
    </row>
    <row r="40" spans="1:9">
      <c r="A40" s="229" t="s">
        <v>329</v>
      </c>
      <c r="B40" s="230" t="s">
        <v>369</v>
      </c>
      <c r="C40" s="232">
        <v>9.5084972381591797</v>
      </c>
      <c r="E40" s="158" t="s">
        <v>331</v>
      </c>
      <c r="F40" s="202">
        <v>11.435676574707031</v>
      </c>
      <c r="H40" s="158" t="s">
        <v>247</v>
      </c>
      <c r="I40" s="202">
        <v>1.7110379934310913</v>
      </c>
    </row>
    <row r="41" spans="1:9">
      <c r="A41" s="229" t="s">
        <v>329</v>
      </c>
      <c r="B41" s="230" t="s">
        <v>370</v>
      </c>
      <c r="C41" s="232">
        <v>10.299167633056641</v>
      </c>
      <c r="E41" s="158" t="s">
        <v>331</v>
      </c>
      <c r="F41" s="202">
        <v>10.399785995483398</v>
      </c>
      <c r="H41" s="158" t="s">
        <v>247</v>
      </c>
      <c r="I41" s="202">
        <v>3.5091133117675781</v>
      </c>
    </row>
    <row r="42" spans="1:9">
      <c r="A42" s="229" t="s">
        <v>329</v>
      </c>
      <c r="B42" s="230" t="s">
        <v>371</v>
      </c>
      <c r="C42" s="232">
        <v>9.7400541305541992</v>
      </c>
      <c r="E42" s="158" t="s">
        <v>331</v>
      </c>
      <c r="F42" s="202">
        <v>8.4124155044555664</v>
      </c>
      <c r="H42" s="158" t="s">
        <v>247</v>
      </c>
      <c r="I42" s="202">
        <v>3.749295711517334</v>
      </c>
    </row>
    <row r="43" spans="1:9">
      <c r="A43" s="229" t="s">
        <v>329</v>
      </c>
      <c r="B43" s="230" t="s">
        <v>372</v>
      </c>
      <c r="C43" s="232">
        <v>9.9559211730957031</v>
      </c>
      <c r="E43" s="158" t="s">
        <v>331</v>
      </c>
      <c r="F43" s="202">
        <v>8.6019248962402344</v>
      </c>
      <c r="H43" s="158" t="s">
        <v>247</v>
      </c>
      <c r="I43" s="202">
        <v>3.8754441738128662</v>
      </c>
    </row>
    <row r="44" spans="1:9">
      <c r="A44" s="229" t="s">
        <v>329</v>
      </c>
      <c r="B44" s="230" t="s">
        <v>373</v>
      </c>
      <c r="C44" s="232">
        <v>9.8177766799926758</v>
      </c>
      <c r="E44" s="158" t="s">
        <v>331</v>
      </c>
      <c r="F44" s="202">
        <v>9.5902519226074219</v>
      </c>
      <c r="H44" s="158" t="s">
        <v>247</v>
      </c>
      <c r="I44" s="202">
        <v>3.0387892723083496</v>
      </c>
    </row>
    <row r="45" spans="1:9">
      <c r="A45" s="229" t="s">
        <v>329</v>
      </c>
      <c r="B45" s="230" t="s">
        <v>374</v>
      </c>
      <c r="C45" s="232">
        <v>9.7960309982299805</v>
      </c>
      <c r="E45" s="158" t="s">
        <v>331</v>
      </c>
      <c r="F45" s="202">
        <v>8.7696142196655273</v>
      </c>
      <c r="H45" s="158" t="s">
        <v>247</v>
      </c>
      <c r="I45" s="202">
        <v>2.9954609870910645</v>
      </c>
    </row>
    <row r="46" spans="1:9">
      <c r="A46" s="229" t="s">
        <v>329</v>
      </c>
      <c r="B46" s="230" t="s">
        <v>375</v>
      </c>
      <c r="C46" s="232">
        <v>9.6696758270263672</v>
      </c>
      <c r="E46" s="158" t="s">
        <v>331</v>
      </c>
      <c r="F46" s="202">
        <v>7.614163875579834</v>
      </c>
      <c r="H46" s="158" t="s">
        <v>247</v>
      </c>
      <c r="I46" s="202">
        <v>2.5747849941253662</v>
      </c>
    </row>
    <row r="47" spans="1:9">
      <c r="A47" s="229" t="s">
        <v>329</v>
      </c>
      <c r="B47" s="230" t="s">
        <v>376</v>
      </c>
      <c r="C47" s="232">
        <v>9.8513870239257813</v>
      </c>
      <c r="E47" s="158" t="s">
        <v>331</v>
      </c>
      <c r="F47" s="202">
        <v>5.4159107208251953</v>
      </c>
      <c r="H47" s="158" t="s">
        <v>247</v>
      </c>
      <c r="I47" s="202">
        <v>2.6497623920440674</v>
      </c>
    </row>
    <row r="48" spans="1:9">
      <c r="A48" s="229" t="s">
        <v>329</v>
      </c>
      <c r="B48" s="230" t="s">
        <v>377</v>
      </c>
      <c r="C48" s="232">
        <v>8.9274492263793945</v>
      </c>
      <c r="E48" s="158" t="s">
        <v>331</v>
      </c>
      <c r="F48" s="202">
        <v>3.584550142288208</v>
      </c>
      <c r="H48" s="158" t="s">
        <v>247</v>
      </c>
      <c r="I48" s="202">
        <v>2.265312671661377</v>
      </c>
    </row>
    <row r="49" spans="1:9">
      <c r="A49" s="229" t="s">
        <v>329</v>
      </c>
      <c r="B49" s="230" t="s">
        <v>378</v>
      </c>
      <c r="C49" s="232">
        <v>8.4417905807495117</v>
      </c>
      <c r="E49" s="158" t="s">
        <v>331</v>
      </c>
      <c r="F49" s="202">
        <v>4.6137676239013672</v>
      </c>
      <c r="H49" s="158" t="s">
        <v>247</v>
      </c>
      <c r="I49" s="202">
        <v>2.0395519733428955</v>
      </c>
    </row>
    <row r="50" spans="1:9">
      <c r="A50" s="229" t="s">
        <v>329</v>
      </c>
      <c r="B50" s="230" t="s">
        <v>379</v>
      </c>
      <c r="C50" s="232">
        <v>8.2381601333618164</v>
      </c>
      <c r="E50" s="158" t="s">
        <v>331</v>
      </c>
      <c r="F50" s="202">
        <v>4.3120169639587402</v>
      </c>
      <c r="H50" s="158" t="s">
        <v>247</v>
      </c>
      <c r="I50" s="202">
        <v>2.0854566097259521</v>
      </c>
    </row>
    <row r="51" spans="1:9">
      <c r="A51" s="229" t="s">
        <v>329</v>
      </c>
      <c r="B51" s="230" t="s">
        <v>380</v>
      </c>
      <c r="C51" s="232">
        <v>8.7201557159423828</v>
      </c>
      <c r="E51" s="158" t="s">
        <v>331</v>
      </c>
      <c r="F51" s="202">
        <v>3.1852090358734131</v>
      </c>
      <c r="H51" s="158" t="s">
        <v>247</v>
      </c>
      <c r="I51" s="202">
        <v>2.0875630378723145</v>
      </c>
    </row>
    <row r="52" spans="1:9">
      <c r="A52" s="229" t="s">
        <v>329</v>
      </c>
      <c r="B52" s="230" t="s">
        <v>381</v>
      </c>
      <c r="C52" s="232">
        <v>8.746455192565918</v>
      </c>
      <c r="E52" s="158" t="s">
        <v>331</v>
      </c>
      <c r="F52" s="202">
        <v>3.2170226573944092</v>
      </c>
      <c r="H52" s="158" t="s">
        <v>247</v>
      </c>
      <c r="I52" s="202">
        <v>1.8036549091339111</v>
      </c>
    </row>
    <row r="53" spans="1:9">
      <c r="A53" s="229" t="s">
        <v>329</v>
      </c>
      <c r="B53" s="230" t="s">
        <v>382</v>
      </c>
      <c r="C53" s="232">
        <v>8.380366325378418</v>
      </c>
      <c r="E53" s="158" t="s">
        <v>331</v>
      </c>
      <c r="F53" s="202">
        <v>3.2240452766418457</v>
      </c>
      <c r="H53" s="158" t="s">
        <v>247</v>
      </c>
      <c r="I53" s="202">
        <v>0.64203721284866333</v>
      </c>
    </row>
    <row r="54" spans="1:9">
      <c r="A54" s="229" t="s">
        <v>329</v>
      </c>
      <c r="B54" s="230" t="s">
        <v>383</v>
      </c>
      <c r="C54" s="232">
        <v>8.383601188659668</v>
      </c>
      <c r="E54" s="158" t="s">
        <v>331</v>
      </c>
      <c r="F54" s="202">
        <v>4.5497479438781738</v>
      </c>
      <c r="H54" s="158" t="s">
        <v>247</v>
      </c>
      <c r="I54" s="202">
        <v>0.38939553499221802</v>
      </c>
    </row>
    <row r="55" spans="1:9">
      <c r="A55" s="229" t="s">
        <v>329</v>
      </c>
      <c r="B55" s="230" t="s">
        <v>384</v>
      </c>
      <c r="C55" s="232">
        <v>8.8113231658935547</v>
      </c>
      <c r="E55" s="158" t="s">
        <v>331</v>
      </c>
      <c r="F55" s="202">
        <v>3.5660204887390137</v>
      </c>
      <c r="H55" s="158" t="s">
        <v>247</v>
      </c>
      <c r="I55" s="202">
        <v>0.62653940916061401</v>
      </c>
    </row>
    <row r="56" spans="1:9">
      <c r="A56" s="229" t="s">
        <v>329</v>
      </c>
      <c r="B56" s="230" t="s">
        <v>385</v>
      </c>
      <c r="C56" s="232">
        <v>9.0216274261474609</v>
      </c>
      <c r="E56" s="158" t="s">
        <v>331</v>
      </c>
      <c r="F56" s="202">
        <v>2.0683591365814209</v>
      </c>
      <c r="H56" s="158" t="s">
        <v>247</v>
      </c>
      <c r="I56" s="202">
        <v>1.6765463352203369</v>
      </c>
    </row>
    <row r="57" spans="1:9">
      <c r="A57" s="229" t="s">
        <v>329</v>
      </c>
      <c r="B57" s="230" t="s">
        <v>386</v>
      </c>
      <c r="C57" s="232">
        <v>9.2714157104492188</v>
      </c>
      <c r="E57" s="158" t="s">
        <v>331</v>
      </c>
      <c r="F57" s="202">
        <v>2.0239884853363037</v>
      </c>
      <c r="H57" s="158" t="s">
        <v>247</v>
      </c>
      <c r="I57" s="202">
        <v>2.0395381450653076</v>
      </c>
    </row>
    <row r="58" spans="1:9">
      <c r="A58" s="229" t="s">
        <v>329</v>
      </c>
      <c r="B58" s="230" t="s">
        <v>387</v>
      </c>
      <c r="C58" s="232">
        <v>9.521754264831543</v>
      </c>
      <c r="E58" s="158" t="s">
        <v>331</v>
      </c>
      <c r="F58" s="202">
        <v>1.5047974586486816</v>
      </c>
      <c r="H58" s="158" t="s">
        <v>247</v>
      </c>
      <c r="I58" s="202">
        <v>2.9508998394012451</v>
      </c>
    </row>
    <row r="59" spans="1:9">
      <c r="A59" s="229" t="s">
        <v>329</v>
      </c>
      <c r="B59" s="230" t="s">
        <v>388</v>
      </c>
      <c r="C59" s="232">
        <v>9.1470413208007813</v>
      </c>
      <c r="E59" s="158" t="s">
        <v>331</v>
      </c>
      <c r="F59" s="202">
        <v>3.1881511211395264</v>
      </c>
      <c r="H59" s="158" t="s">
        <v>247</v>
      </c>
      <c r="I59" s="202">
        <v>3.2222602367401123</v>
      </c>
    </row>
    <row r="60" spans="1:9">
      <c r="A60" s="229" t="s">
        <v>329</v>
      </c>
      <c r="B60" s="230" t="s">
        <v>389</v>
      </c>
      <c r="C60" s="232">
        <v>9.2004470825195313</v>
      </c>
      <c r="E60" s="158" t="s">
        <v>331</v>
      </c>
      <c r="F60" s="202">
        <v>5.5397124290466309</v>
      </c>
      <c r="H60" s="158" t="s">
        <v>247</v>
      </c>
      <c r="I60" s="202">
        <v>4.0976743698120117</v>
      </c>
    </row>
    <row r="61" spans="1:9">
      <c r="A61" s="229" t="s">
        <v>329</v>
      </c>
      <c r="B61" s="230" t="s">
        <v>390</v>
      </c>
      <c r="C61" s="232">
        <v>9.6220626831054688</v>
      </c>
      <c r="E61" s="158" t="s">
        <v>331</v>
      </c>
      <c r="F61" s="202">
        <v>4.4879951477050781</v>
      </c>
      <c r="H61" s="158" t="s">
        <v>247</v>
      </c>
      <c r="I61" s="202">
        <v>4.7208247184753418</v>
      </c>
    </row>
    <row r="62" spans="1:9">
      <c r="A62" s="229" t="s">
        <v>329</v>
      </c>
      <c r="B62" s="230" t="s">
        <v>391</v>
      </c>
      <c r="C62" s="232">
        <v>9.8372812271118164</v>
      </c>
      <c r="E62" s="158" t="s">
        <v>331</v>
      </c>
      <c r="F62" s="202">
        <v>4.1854214668273926</v>
      </c>
      <c r="H62" s="158" t="s">
        <v>247</v>
      </c>
      <c r="I62" s="202">
        <v>5.3329401016235352</v>
      </c>
    </row>
    <row r="63" spans="1:9">
      <c r="A63" s="229" t="s">
        <v>329</v>
      </c>
      <c r="B63" s="230" t="s">
        <v>392</v>
      </c>
      <c r="C63" s="232">
        <v>10.055731773376465</v>
      </c>
      <c r="E63" s="158" t="s">
        <v>331</v>
      </c>
      <c r="F63" s="202">
        <v>4.6682171821594238</v>
      </c>
      <c r="H63" s="158" t="s">
        <v>247</v>
      </c>
      <c r="I63" s="202">
        <v>6.2855725288391113</v>
      </c>
    </row>
    <row r="64" spans="1:9">
      <c r="A64" s="229" t="s">
        <v>329</v>
      </c>
      <c r="B64" s="230" t="s">
        <v>393</v>
      </c>
      <c r="C64" s="232">
        <v>10.814209938049316</v>
      </c>
      <c r="E64" s="158" t="s">
        <v>331</v>
      </c>
      <c r="F64" s="202">
        <v>6.8618149757385254</v>
      </c>
      <c r="H64" s="158" t="s">
        <v>247</v>
      </c>
      <c r="I64" s="202">
        <v>7.3895373344421387</v>
      </c>
    </row>
    <row r="65" spans="1:9">
      <c r="A65" s="229" t="s">
        <v>329</v>
      </c>
      <c r="B65" s="230" t="s">
        <v>394</v>
      </c>
      <c r="C65" s="232">
        <v>11.283292770385742</v>
      </c>
      <c r="E65" s="158" t="s">
        <v>331</v>
      </c>
      <c r="F65" s="202">
        <v>9.5298032760620117</v>
      </c>
      <c r="H65" s="158" t="s">
        <v>247</v>
      </c>
      <c r="I65" s="202">
        <v>8.3973169326782227</v>
      </c>
    </row>
    <row r="66" spans="1:9">
      <c r="A66" s="229" t="s">
        <v>329</v>
      </c>
      <c r="B66" s="230" t="s">
        <v>395</v>
      </c>
      <c r="C66" s="232">
        <v>12.201778411865234</v>
      </c>
      <c r="E66" s="158" t="s">
        <v>331</v>
      </c>
      <c r="F66" s="202">
        <v>9.9383306503295898</v>
      </c>
      <c r="H66" s="158" t="s">
        <v>247</v>
      </c>
      <c r="I66" s="202">
        <v>9.5719385147094727</v>
      </c>
    </row>
    <row r="67" spans="1:9">
      <c r="A67" s="229" t="s">
        <v>329</v>
      </c>
      <c r="B67" s="230" t="s">
        <v>396</v>
      </c>
      <c r="C67" s="232">
        <v>12.814272880554199</v>
      </c>
      <c r="E67" s="158" t="s">
        <v>331</v>
      </c>
      <c r="F67" s="202">
        <v>10.729656219482422</v>
      </c>
      <c r="H67" s="158" t="s">
        <v>247</v>
      </c>
      <c r="I67" s="202">
        <v>10.205886840820313</v>
      </c>
    </row>
    <row r="68" spans="1:9">
      <c r="A68" s="229" t="s">
        <v>329</v>
      </c>
      <c r="B68" s="230" t="s">
        <v>397</v>
      </c>
      <c r="C68" s="232">
        <v>13.464077949523926</v>
      </c>
      <c r="E68" s="158" t="s">
        <v>331</v>
      </c>
      <c r="F68" s="202">
        <v>12.507658958435059</v>
      </c>
      <c r="H68" s="158" t="s">
        <v>247</v>
      </c>
      <c r="I68" s="202">
        <v>11.325146675109863</v>
      </c>
    </row>
    <row r="69" spans="1:9">
      <c r="A69" s="229" t="s">
        <v>329</v>
      </c>
      <c r="B69" s="230" t="s">
        <v>398</v>
      </c>
      <c r="C69" s="232">
        <v>14.151814460754395</v>
      </c>
      <c r="E69" s="158" t="s">
        <v>331</v>
      </c>
      <c r="F69" s="202">
        <v>12.427997589111328</v>
      </c>
      <c r="H69" s="158" t="s">
        <v>247</v>
      </c>
      <c r="I69" s="202">
        <v>11.811222076416016</v>
      </c>
    </row>
    <row r="70" spans="1:9">
      <c r="A70" s="229" t="s">
        <v>329</v>
      </c>
      <c r="B70" s="230" t="s">
        <v>399</v>
      </c>
      <c r="C70" s="232">
        <v>14.248525619506836</v>
      </c>
      <c r="E70" s="158" t="s">
        <v>331</v>
      </c>
      <c r="F70" s="202">
        <v>13.468091011047363</v>
      </c>
      <c r="H70" s="158" t="s">
        <v>247</v>
      </c>
      <c r="I70" s="202">
        <v>11.994608879089355</v>
      </c>
    </row>
    <row r="71" spans="1:9">
      <c r="A71" s="229" t="s">
        <v>329</v>
      </c>
      <c r="B71" s="230" t="s">
        <v>400</v>
      </c>
      <c r="C71" s="232">
        <v>14.799049377441406</v>
      </c>
      <c r="E71" s="158" t="s">
        <v>331</v>
      </c>
      <c r="F71" s="202">
        <v>12.676676750183105</v>
      </c>
      <c r="H71" s="158" t="s">
        <v>247</v>
      </c>
      <c r="I71" s="202">
        <v>12.483351707458496</v>
      </c>
    </row>
    <row r="72" spans="1:9">
      <c r="A72" s="229" t="s">
        <v>329</v>
      </c>
      <c r="B72" s="230" t="s">
        <v>401</v>
      </c>
      <c r="C72" s="232">
        <v>15.199581146240234</v>
      </c>
      <c r="E72" s="158" t="s">
        <v>331</v>
      </c>
      <c r="F72" s="202">
        <v>11.005669593811035</v>
      </c>
      <c r="H72" s="158" t="s">
        <v>247</v>
      </c>
      <c r="I72" s="202">
        <v>12.402841567993164</v>
      </c>
    </row>
    <row r="73" spans="1:9">
      <c r="A73" s="229" t="s">
        <v>329</v>
      </c>
      <c r="B73" s="230" t="s">
        <v>402</v>
      </c>
      <c r="C73" s="232">
        <v>15.007585525512695</v>
      </c>
      <c r="E73" s="158" t="s">
        <v>331</v>
      </c>
      <c r="F73" s="202">
        <v>11.074291229248047</v>
      </c>
      <c r="H73" s="158" t="s">
        <v>247</v>
      </c>
      <c r="I73" s="202">
        <v>12.392772674560547</v>
      </c>
    </row>
  </sheetData>
  <pageMargins left="0.75" right="0.75" top="1" bottom="1" header="0.5" footer="0.5"/>
  <pageSetup orientation="portrait" horizontalDpi="90" verticalDpi="9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C4BB-977A-4B9E-85DB-3ABC62E1C2F3}">
  <dimension ref="A1:AJ45"/>
  <sheetViews>
    <sheetView zoomScale="87" zoomScaleNormal="145" workbookViewId="0">
      <selection activeCell="B88" sqref="B88:K88"/>
    </sheetView>
  </sheetViews>
  <sheetFormatPr defaultColWidth="9.140625" defaultRowHeight="15"/>
  <cols>
    <col min="1" max="1" width="38.28515625" style="237" bestFit="1" customWidth="1"/>
    <col min="2" max="16384" width="9.140625" style="237"/>
  </cols>
  <sheetData>
    <row r="1" spans="1:36" s="234" customFormat="1">
      <c r="T1"/>
      <c r="U1" t="s">
        <v>403</v>
      </c>
      <c r="V1" t="s">
        <v>404</v>
      </c>
      <c r="W1"/>
      <c r="X1"/>
      <c r="Y1" s="165"/>
      <c r="Z1" s="165"/>
      <c r="AA1" s="165"/>
      <c r="AB1" s="165"/>
      <c r="AC1" s="165"/>
      <c r="AD1" s="165"/>
      <c r="AE1" s="165"/>
      <c r="AF1" s="165"/>
      <c r="AG1" s="165"/>
      <c r="AH1" s="165"/>
      <c r="AI1" s="165"/>
      <c r="AJ1"/>
    </row>
    <row r="2" spans="1:36" s="234" customFormat="1">
      <c r="A2" s="235"/>
      <c r="B2" s="235"/>
      <c r="C2" s="235" t="s">
        <v>405</v>
      </c>
      <c r="D2" s="235" t="s">
        <v>406</v>
      </c>
      <c r="E2" s="235" t="s">
        <v>407</v>
      </c>
      <c r="F2" s="235" t="s">
        <v>408</v>
      </c>
      <c r="T2" t="s">
        <v>409</v>
      </c>
      <c r="U2">
        <v>3</v>
      </c>
      <c r="V2">
        <v>44</v>
      </c>
      <c r="W2"/>
      <c r="X2"/>
      <c r="Y2" s="165"/>
      <c r="Z2" s="165"/>
      <c r="AA2" s="165"/>
      <c r="AB2" s="165"/>
      <c r="AC2" s="165"/>
      <c r="AD2" s="165"/>
      <c r="AE2" s="165"/>
      <c r="AF2" s="165"/>
      <c r="AG2" s="165"/>
      <c r="AH2" s="165"/>
      <c r="AI2" s="165"/>
      <c r="AJ2"/>
    </row>
    <row r="3" spans="1:36" s="234" customFormat="1">
      <c r="A3" s="236" t="s">
        <v>410</v>
      </c>
      <c r="B3" t="s">
        <v>411</v>
      </c>
      <c r="C3" s="163">
        <v>2.780699E-2</v>
      </c>
      <c r="D3" s="163">
        <v>0.61093251999999998</v>
      </c>
      <c r="E3" s="163">
        <v>0.2277401</v>
      </c>
      <c r="F3">
        <v>2</v>
      </c>
      <c r="T3" t="s">
        <v>412</v>
      </c>
      <c r="U3">
        <v>32</v>
      </c>
      <c r="V3">
        <v>5</v>
      </c>
      <c r="W3"/>
      <c r="X3"/>
      <c r="Y3" s="165"/>
      <c r="Z3" s="165"/>
      <c r="AA3" s="165"/>
      <c r="AB3" s="165"/>
      <c r="AC3" s="165"/>
      <c r="AD3" s="165"/>
      <c r="AE3" s="165"/>
      <c r="AF3" s="165"/>
      <c r="AG3" s="165"/>
      <c r="AH3" s="165"/>
      <c r="AI3" s="165"/>
      <c r="AJ3"/>
    </row>
    <row r="4" spans="1:36" s="234" customFormat="1">
      <c r="A4" s="235"/>
      <c r="B4" t="s">
        <v>413</v>
      </c>
      <c r="C4" s="163">
        <v>0.2</v>
      </c>
      <c r="D4" s="163">
        <v>3.024</v>
      </c>
      <c r="E4" s="163">
        <v>1.2675981000000001</v>
      </c>
      <c r="F4">
        <v>7</v>
      </c>
      <c r="T4" t="s">
        <v>414</v>
      </c>
      <c r="U4">
        <v>50</v>
      </c>
      <c r="V4">
        <v>36</v>
      </c>
      <c r="W4"/>
      <c r="X4"/>
      <c r="Y4" s="165"/>
      <c r="Z4" s="165"/>
      <c r="AA4" s="165"/>
      <c r="AB4" s="165"/>
      <c r="AC4" s="165"/>
      <c r="AD4" s="165"/>
      <c r="AE4" s="165"/>
      <c r="AF4" s="165"/>
      <c r="AG4" s="165"/>
      <c r="AH4" s="165"/>
      <c r="AI4" s="165"/>
      <c r="AJ4"/>
    </row>
    <row r="5" spans="1:36" s="234" customFormat="1">
      <c r="A5" s="235"/>
      <c r="B5" t="s">
        <v>415</v>
      </c>
      <c r="C5" s="163">
        <v>1.34E-2</v>
      </c>
      <c r="D5" s="163">
        <v>8.7048310000000004E-2</v>
      </c>
      <c r="E5" s="163">
        <v>2.5355249999999999E-2</v>
      </c>
      <c r="F5">
        <v>1</v>
      </c>
      <c r="T5"/>
      <c r="U5"/>
      <c r="V5"/>
      <c r="W5"/>
      <c r="X5"/>
      <c r="Y5" s="165"/>
      <c r="Z5" s="165"/>
      <c r="AA5" s="165"/>
      <c r="AB5" s="165"/>
      <c r="AC5" s="165"/>
      <c r="AD5" s="165"/>
      <c r="AE5" s="165"/>
      <c r="AF5" s="165"/>
      <c r="AG5" s="165"/>
      <c r="AH5" s="165"/>
      <c r="AI5" s="165"/>
      <c r="AJ5"/>
    </row>
    <row r="6" spans="1:36" s="234" customFormat="1">
      <c r="A6" s="235"/>
      <c r="B6"/>
      <c r="C6" s="163"/>
      <c r="D6" s="163"/>
      <c r="E6" s="163"/>
      <c r="F6"/>
      <c r="T6"/>
      <c r="U6"/>
      <c r="V6"/>
      <c r="W6"/>
      <c r="X6"/>
      <c r="Y6" s="165"/>
      <c r="Z6" s="165"/>
      <c r="AA6" s="165"/>
      <c r="AB6" s="165"/>
      <c r="AC6" s="165"/>
      <c r="AD6" s="165"/>
      <c r="AE6" s="165"/>
      <c r="AF6" s="165"/>
      <c r="AG6" s="165"/>
      <c r="AH6" s="165"/>
      <c r="AI6" s="165"/>
      <c r="AJ6"/>
    </row>
    <row r="7" spans="1:36" s="234" customFormat="1">
      <c r="A7" s="236" t="s">
        <v>416</v>
      </c>
      <c r="B7" t="s">
        <v>411</v>
      </c>
      <c r="C7" s="163">
        <v>0.03</v>
      </c>
      <c r="D7" s="163">
        <v>0.3</v>
      </c>
      <c r="E7" s="163">
        <v>0.12330254</v>
      </c>
      <c r="F7">
        <v>1</v>
      </c>
      <c r="T7"/>
      <c r="U7"/>
      <c r="V7"/>
      <c r="W7"/>
      <c r="X7"/>
      <c r="Y7" s="165"/>
      <c r="Z7" s="165"/>
      <c r="AA7" s="165"/>
      <c r="AB7" s="165"/>
      <c r="AC7" s="165"/>
      <c r="AD7" s="165"/>
      <c r="AE7" s="165"/>
      <c r="AF7" s="165"/>
      <c r="AG7" s="165"/>
      <c r="AH7" s="165"/>
      <c r="AI7" s="165"/>
      <c r="AJ7"/>
    </row>
    <row r="8" spans="1:36" s="234" customFormat="1">
      <c r="A8" s="235"/>
      <c r="B8" t="s">
        <v>413</v>
      </c>
      <c r="C8" s="163">
        <v>0.15</v>
      </c>
      <c r="D8" s="163">
        <v>1.3330200000000001</v>
      </c>
      <c r="E8" s="163">
        <v>0.7</v>
      </c>
      <c r="F8">
        <v>2</v>
      </c>
      <c r="T8"/>
      <c r="U8"/>
      <c r="V8"/>
      <c r="W8"/>
      <c r="X8"/>
      <c r="Y8" s="165"/>
      <c r="Z8" s="165"/>
      <c r="AA8" s="165"/>
      <c r="AB8" s="165"/>
      <c r="AC8" s="165"/>
      <c r="AD8" s="165"/>
      <c r="AE8" s="165"/>
      <c r="AF8" s="165"/>
      <c r="AG8" s="165"/>
      <c r="AH8" s="165"/>
      <c r="AI8" s="165"/>
      <c r="AJ8"/>
    </row>
    <row r="9" spans="1:36" s="234" customFormat="1">
      <c r="A9" s="235"/>
      <c r="B9" t="s">
        <v>415</v>
      </c>
      <c r="C9" s="163">
        <v>4.4999999999999998E-2</v>
      </c>
      <c r="D9" s="163">
        <v>0.34499999999999997</v>
      </c>
      <c r="E9" s="163">
        <v>0.1</v>
      </c>
      <c r="F9">
        <v>1</v>
      </c>
      <c r="T9"/>
      <c r="U9"/>
      <c r="V9"/>
      <c r="W9"/>
      <c r="X9"/>
      <c r="Y9" s="165"/>
      <c r="Z9" s="165"/>
      <c r="AA9" s="165"/>
      <c r="AB9" s="165"/>
      <c r="AC9" s="165"/>
      <c r="AD9" s="165"/>
      <c r="AE9" s="165"/>
      <c r="AF9" s="165"/>
      <c r="AG9" s="165"/>
      <c r="AH9" s="165"/>
      <c r="AI9" s="165"/>
      <c r="AJ9"/>
    </row>
    <row r="10" spans="1:36" s="234" customFormat="1">
      <c r="A10" s="235"/>
      <c r="B10"/>
      <c r="C10" s="163"/>
      <c r="D10" s="163"/>
      <c r="E10" s="163"/>
      <c r="F10"/>
      <c r="T10"/>
      <c r="U10"/>
      <c r="V10"/>
      <c r="W10"/>
      <c r="X10"/>
      <c r="Y10" s="165"/>
      <c r="Z10" s="165"/>
      <c r="AA10" s="165"/>
      <c r="AB10" s="165"/>
      <c r="AC10" s="165"/>
      <c r="AD10" s="165"/>
      <c r="AE10" s="165"/>
      <c r="AF10" s="165"/>
      <c r="AG10" s="165"/>
      <c r="AH10" s="165"/>
      <c r="AI10" s="165"/>
      <c r="AJ10"/>
    </row>
    <row r="11" spans="1:36" s="234" customFormat="1">
      <c r="A11" s="235" t="s">
        <v>417</v>
      </c>
      <c r="B11" t="s">
        <v>411</v>
      </c>
      <c r="C11" s="163">
        <v>5.0000000000000001E-3</v>
      </c>
      <c r="D11" s="163">
        <v>0.25410106999999998</v>
      </c>
      <c r="E11" s="163">
        <v>0.2</v>
      </c>
      <c r="F11">
        <v>1</v>
      </c>
      <c r="T11"/>
      <c r="U11"/>
      <c r="V11"/>
      <c r="W11"/>
      <c r="X11"/>
      <c r="Y11" s="165"/>
      <c r="Z11" s="165"/>
      <c r="AA11" s="165"/>
      <c r="AB11" s="165"/>
      <c r="AC11" s="165"/>
      <c r="AD11" s="165"/>
      <c r="AE11" s="165"/>
      <c r="AF11" s="165"/>
      <c r="AG11" s="165"/>
      <c r="AH11" s="165"/>
      <c r="AI11" s="165"/>
      <c r="AJ11"/>
    </row>
    <row r="12" spans="1:36" s="234" customFormat="1">
      <c r="A12" s="235"/>
      <c r="B12" s="237" t="s">
        <v>413</v>
      </c>
      <c r="C12" s="163">
        <v>0.1</v>
      </c>
      <c r="D12" s="163">
        <v>1.2983684</v>
      </c>
      <c r="E12" s="163">
        <v>0.53134963000000002</v>
      </c>
      <c r="F12">
        <v>1</v>
      </c>
      <c r="T12"/>
      <c r="U12"/>
      <c r="V12"/>
      <c r="W12"/>
      <c r="X12"/>
      <c r="Y12" s="165"/>
      <c r="Z12" s="165"/>
      <c r="AA12" s="165"/>
      <c r="AB12" s="165"/>
      <c r="AC12" s="165"/>
      <c r="AD12" s="165"/>
      <c r="AE12" s="165"/>
      <c r="AF12" s="165"/>
      <c r="AG12" s="165"/>
      <c r="AH12" s="165"/>
      <c r="AI12" s="165"/>
      <c r="AJ12"/>
    </row>
    <row r="13" spans="1:36" s="234" customFormat="1">
      <c r="A13" s="235"/>
      <c r="B13" s="237" t="s">
        <v>415</v>
      </c>
      <c r="C13" s="163">
        <v>0.1</v>
      </c>
      <c r="D13" s="163">
        <v>0.86729774000000004</v>
      </c>
      <c r="E13" s="163">
        <v>0.23499999999999999</v>
      </c>
      <c r="F13">
        <v>1</v>
      </c>
      <c r="T13"/>
      <c r="U13"/>
      <c r="V13"/>
      <c r="W13"/>
      <c r="X13"/>
      <c r="Y13" s="165"/>
      <c r="Z13" s="165"/>
      <c r="AA13" s="165"/>
      <c r="AB13" s="165"/>
      <c r="AC13" s="165"/>
      <c r="AD13" s="165"/>
      <c r="AE13" s="165"/>
      <c r="AF13" s="165"/>
      <c r="AG13" s="165"/>
      <c r="AH13" s="165"/>
      <c r="AI13" s="165"/>
      <c r="AJ13"/>
    </row>
    <row r="14" spans="1:36" s="234" customFormat="1">
      <c r="T14"/>
      <c r="U14"/>
      <c r="V14"/>
      <c r="W14"/>
      <c r="X14"/>
      <c r="Y14" s="165"/>
      <c r="Z14" s="165"/>
      <c r="AA14" s="165"/>
      <c r="AB14" s="165"/>
      <c r="AC14" s="165"/>
      <c r="AD14" s="165"/>
      <c r="AE14" s="165"/>
      <c r="AF14" s="165"/>
      <c r="AG14" s="165"/>
      <c r="AH14" s="165"/>
      <c r="AI14" s="165"/>
      <c r="AJ14"/>
    </row>
    <row r="15" spans="1:36" s="234" customFormat="1">
      <c r="T15"/>
      <c r="U15"/>
      <c r="V15"/>
      <c r="W15"/>
      <c r="X15"/>
      <c r="Y15" s="165"/>
      <c r="Z15" s="165"/>
      <c r="AA15" s="165"/>
      <c r="AB15" s="165"/>
      <c r="AC15" s="165"/>
      <c r="AD15" s="165"/>
      <c r="AE15" s="165"/>
      <c r="AF15" s="165"/>
      <c r="AG15" s="165"/>
      <c r="AH15" s="165"/>
      <c r="AI15" s="165"/>
      <c r="AJ15"/>
    </row>
    <row r="16" spans="1:36" s="234" customFormat="1">
      <c r="T16"/>
      <c r="U16"/>
      <c r="V16"/>
      <c r="W16"/>
      <c r="X16"/>
      <c r="Y16" s="165"/>
      <c r="Z16" s="165"/>
      <c r="AA16" s="165"/>
      <c r="AB16" s="165"/>
      <c r="AC16" s="165"/>
      <c r="AD16" s="165"/>
      <c r="AE16" s="165"/>
      <c r="AF16" s="165"/>
      <c r="AG16" s="165"/>
      <c r="AH16" s="165"/>
      <c r="AI16" s="165"/>
      <c r="AJ16"/>
    </row>
    <row r="17" spans="1:36" s="234" customFormat="1">
      <c r="A17"/>
      <c r="B17"/>
      <c r="C17"/>
      <c r="D17"/>
      <c r="E17"/>
      <c r="F17"/>
      <c r="T17"/>
      <c r="U17"/>
      <c r="V17"/>
      <c r="W17"/>
      <c r="X17"/>
      <c r="Y17" s="165"/>
      <c r="Z17" s="165"/>
      <c r="AA17" s="165"/>
      <c r="AB17" s="165"/>
      <c r="AC17" s="165"/>
      <c r="AD17" s="165"/>
      <c r="AE17" s="165"/>
      <c r="AF17" s="165"/>
      <c r="AG17" s="165"/>
      <c r="AH17" s="165"/>
      <c r="AI17" s="165"/>
      <c r="AJ17"/>
    </row>
    <row r="18" spans="1:36" s="234" customFormat="1">
      <c r="A18"/>
      <c r="B18"/>
      <c r="C18" s="163"/>
      <c r="D18" s="163"/>
      <c r="E18" s="163"/>
      <c r="F18"/>
      <c r="T18"/>
      <c r="U18"/>
      <c r="V18"/>
      <c r="W18"/>
      <c r="X18"/>
      <c r="Y18" s="165"/>
      <c r="Z18" s="165"/>
      <c r="AA18" s="165"/>
      <c r="AB18" s="165"/>
      <c r="AC18" s="165"/>
      <c r="AD18" s="165"/>
      <c r="AE18" s="165"/>
      <c r="AF18" s="165"/>
      <c r="AG18" s="165"/>
      <c r="AH18" s="165"/>
      <c r="AI18" s="165"/>
      <c r="AJ18"/>
    </row>
    <row r="19" spans="1:36" s="234" customFormat="1">
      <c r="A19"/>
      <c r="B19"/>
      <c r="C19" s="163"/>
      <c r="D19" s="163"/>
      <c r="E19" s="163"/>
      <c r="F19"/>
      <c r="T19"/>
      <c r="U19"/>
      <c r="V19"/>
      <c r="W19"/>
      <c r="X19"/>
      <c r="Y19" s="165"/>
      <c r="Z19" s="165"/>
      <c r="AA19" s="165"/>
      <c r="AB19" s="165"/>
      <c r="AC19" s="165"/>
      <c r="AD19" s="165"/>
      <c r="AE19" s="165"/>
      <c r="AF19" s="165"/>
      <c r="AG19" s="165"/>
      <c r="AH19" s="165"/>
      <c r="AI19" s="165"/>
      <c r="AJ19"/>
    </row>
    <row r="20" spans="1:36" s="234" customFormat="1">
      <c r="A20"/>
      <c r="B20"/>
      <c r="C20" s="163"/>
      <c r="D20" s="163"/>
      <c r="E20" s="163"/>
      <c r="F20"/>
      <c r="T20"/>
      <c r="U20"/>
      <c r="V20"/>
      <c r="W20"/>
      <c r="X20"/>
      <c r="Y20" s="165"/>
      <c r="Z20" s="165"/>
      <c r="AA20" s="165"/>
      <c r="AB20" s="165"/>
      <c r="AC20" s="165"/>
      <c r="AD20" s="165"/>
      <c r="AE20" s="165"/>
      <c r="AF20" s="165"/>
      <c r="AG20" s="165"/>
      <c r="AH20" s="165"/>
      <c r="AI20" s="165"/>
      <c r="AJ20"/>
    </row>
    <row r="21" spans="1:36" s="234" customFormat="1">
      <c r="A21"/>
      <c r="B21"/>
      <c r="C21" s="163"/>
      <c r="D21" s="163"/>
      <c r="E21" s="163"/>
      <c r="F21"/>
      <c r="T21"/>
      <c r="U21"/>
      <c r="V21"/>
      <c r="W21"/>
      <c r="X21"/>
      <c r="Y21" s="165"/>
      <c r="Z21" s="165"/>
      <c r="AA21" s="165"/>
      <c r="AB21" s="165"/>
      <c r="AC21" s="165"/>
      <c r="AD21" s="165"/>
      <c r="AE21" s="165"/>
      <c r="AF21" s="165"/>
      <c r="AG21" s="165"/>
      <c r="AH21" s="165"/>
      <c r="AI21" s="165"/>
      <c r="AJ21"/>
    </row>
    <row r="22" spans="1:36" s="234" customFormat="1">
      <c r="A22"/>
      <c r="B22"/>
      <c r="C22" s="163"/>
      <c r="D22" s="163"/>
      <c r="E22" s="163"/>
      <c r="F22"/>
      <c r="T22"/>
      <c r="U22"/>
      <c r="V22"/>
      <c r="W22"/>
      <c r="X22"/>
      <c r="Y22" s="165"/>
      <c r="Z22" s="165"/>
      <c r="AA22" s="165"/>
      <c r="AB22" s="165"/>
      <c r="AC22" s="165"/>
      <c r="AD22" s="165"/>
      <c r="AE22" s="165"/>
      <c r="AF22" s="165"/>
      <c r="AG22" s="165"/>
      <c r="AH22" s="165"/>
      <c r="AI22" s="165"/>
      <c r="AJ22"/>
    </row>
    <row r="23" spans="1:36" s="234" customFormat="1">
      <c r="A23"/>
      <c r="B23"/>
      <c r="C23" s="163"/>
      <c r="D23" s="163"/>
      <c r="E23" s="163"/>
      <c r="F23"/>
      <c r="T23"/>
      <c r="U23"/>
      <c r="V23"/>
      <c r="W23"/>
      <c r="X23"/>
      <c r="Y23" s="165"/>
      <c r="Z23" s="165"/>
      <c r="AA23" s="165"/>
      <c r="AB23" s="165"/>
      <c r="AC23" s="165"/>
      <c r="AD23" s="165"/>
      <c r="AE23" s="165"/>
      <c r="AF23" s="165"/>
      <c r="AG23" s="165"/>
      <c r="AH23" s="165"/>
      <c r="AI23" s="165"/>
      <c r="AJ23"/>
    </row>
    <row r="24" spans="1:36" s="234" customFormat="1">
      <c r="A24"/>
      <c r="B24"/>
      <c r="C24" s="163"/>
      <c r="D24" s="163"/>
      <c r="E24" s="163"/>
      <c r="F24"/>
      <c r="T24"/>
      <c r="U24"/>
      <c r="V24"/>
      <c r="W24"/>
      <c r="X24"/>
      <c r="Y24" s="165"/>
      <c r="Z24" s="165"/>
      <c r="AA24" s="165"/>
      <c r="AB24" s="165"/>
      <c r="AC24" s="165"/>
      <c r="AD24" s="165"/>
      <c r="AE24" s="165"/>
      <c r="AF24" s="165"/>
      <c r="AG24" s="165"/>
      <c r="AH24" s="165"/>
      <c r="AI24" s="165"/>
      <c r="AJ24"/>
    </row>
    <row r="25" spans="1:36" s="234" customFormat="1">
      <c r="A25"/>
      <c r="B25"/>
      <c r="C25" s="163"/>
      <c r="D25" s="163"/>
      <c r="E25" s="163"/>
      <c r="F25"/>
      <c r="T25"/>
      <c r="U25"/>
      <c r="V25"/>
      <c r="W25"/>
      <c r="X25"/>
      <c r="Y25" s="165"/>
      <c r="Z25" s="165"/>
      <c r="AA25" s="165"/>
      <c r="AB25" s="165"/>
      <c r="AC25" s="165"/>
      <c r="AD25" s="165"/>
      <c r="AE25" s="165"/>
      <c r="AF25" s="165"/>
      <c r="AG25" s="165"/>
      <c r="AH25" s="165"/>
      <c r="AI25" s="165"/>
      <c r="AJ25"/>
    </row>
    <row r="26" spans="1:36" s="234" customFormat="1">
      <c r="A26"/>
      <c r="B26"/>
      <c r="C26" s="163"/>
      <c r="D26" s="163"/>
      <c r="E26" s="163"/>
      <c r="F26"/>
      <c r="T26"/>
      <c r="U26"/>
      <c r="V26"/>
      <c r="W26"/>
      <c r="X26"/>
      <c r="Y26" s="165"/>
      <c r="Z26" s="165"/>
      <c r="AA26" s="165"/>
      <c r="AB26" s="165"/>
      <c r="AC26" s="165"/>
      <c r="AD26" s="165"/>
      <c r="AE26" s="165"/>
      <c r="AF26" s="165"/>
      <c r="AG26" s="165"/>
      <c r="AH26" s="165"/>
      <c r="AI26" s="165"/>
      <c r="AJ26"/>
    </row>
    <row r="27" spans="1:36">
      <c r="A27"/>
      <c r="B27"/>
      <c r="C27" s="163"/>
      <c r="D27" s="163"/>
      <c r="E27" s="163"/>
      <c r="F27"/>
      <c r="T27"/>
      <c r="U27"/>
      <c r="V27"/>
      <c r="W27"/>
      <c r="X27"/>
      <c r="Y27"/>
      <c r="Z27"/>
      <c r="AA27"/>
      <c r="AB27"/>
      <c r="AC27"/>
      <c r="AD27"/>
      <c r="AE27"/>
      <c r="AF27"/>
      <c r="AG27"/>
      <c r="AH27"/>
      <c r="AI27"/>
      <c r="AJ27"/>
    </row>
    <row r="28" spans="1:36">
      <c r="A28"/>
      <c r="B28"/>
      <c r="C28" s="163"/>
      <c r="D28" s="163"/>
      <c r="E28" s="163"/>
      <c r="F28"/>
      <c r="T28"/>
      <c r="U28"/>
      <c r="V28"/>
      <c r="W28"/>
      <c r="X28"/>
      <c r="Y28"/>
      <c r="Z28"/>
      <c r="AA28"/>
      <c r="AB28"/>
      <c r="AC28"/>
      <c r="AD28"/>
      <c r="AE28"/>
      <c r="AF28"/>
      <c r="AG28"/>
      <c r="AH28"/>
      <c r="AI28"/>
      <c r="AJ28"/>
    </row>
    <row r="29" spans="1:36">
      <c r="A29"/>
      <c r="B29" s="163"/>
      <c r="C29" s="163"/>
      <c r="D29" s="163"/>
      <c r="E29" s="163"/>
      <c r="F29" s="163"/>
      <c r="T29"/>
      <c r="U29"/>
      <c r="V29"/>
      <c r="W29"/>
      <c r="X29"/>
      <c r="Y29"/>
      <c r="Z29"/>
      <c r="AA29"/>
      <c r="AB29"/>
      <c r="AC29"/>
      <c r="AD29"/>
      <c r="AE29"/>
      <c r="AF29"/>
      <c r="AG29"/>
      <c r="AH29"/>
      <c r="AI29"/>
      <c r="AJ29"/>
    </row>
    <row r="30" spans="1:36">
      <c r="A30"/>
      <c r="B30" s="163"/>
      <c r="C30" s="163"/>
      <c r="D30" s="163"/>
      <c r="E30" s="163"/>
      <c r="F30"/>
    </row>
    <row r="31" spans="1:36">
      <c r="A31"/>
      <c r="B31" s="163"/>
      <c r="C31" s="163"/>
      <c r="D31" s="163"/>
      <c r="E31" s="163"/>
      <c r="F31"/>
    </row>
    <row r="32" spans="1:36">
      <c r="A32"/>
      <c r="B32" s="163"/>
      <c r="C32" s="163"/>
      <c r="D32" s="163"/>
      <c r="E32" s="163"/>
      <c r="F32"/>
    </row>
    <row r="33" spans="1:6">
      <c r="A33"/>
      <c r="B33" s="163"/>
      <c r="C33" s="163"/>
      <c r="D33" s="163"/>
      <c r="E33" s="163"/>
      <c r="F33"/>
    </row>
    <row r="34" spans="1:6">
      <c r="A34"/>
      <c r="B34" s="163"/>
      <c r="C34" s="163"/>
      <c r="D34" s="163"/>
      <c r="E34" s="163"/>
      <c r="F34"/>
    </row>
    <row r="35" spans="1:6">
      <c r="A35"/>
      <c r="B35" s="163"/>
      <c r="C35" s="163"/>
      <c r="D35" s="163"/>
      <c r="E35" s="163"/>
      <c r="F35"/>
    </row>
    <row r="36" spans="1:6">
      <c r="A36"/>
      <c r="B36" s="163"/>
      <c r="C36" s="163"/>
      <c r="D36" s="163"/>
      <c r="E36" s="163"/>
      <c r="F36"/>
    </row>
    <row r="37" spans="1:6">
      <c r="A37"/>
      <c r="B37" s="163"/>
      <c r="C37" s="163"/>
      <c r="D37" s="163"/>
      <c r="E37" s="163"/>
      <c r="F37"/>
    </row>
    <row r="38" spans="1:6">
      <c r="A38"/>
      <c r="B38" s="163"/>
      <c r="C38" s="163"/>
      <c r="D38" s="163"/>
      <c r="E38" s="163"/>
      <c r="F38"/>
    </row>
    <row r="39" spans="1:6">
      <c r="A39"/>
      <c r="B39" s="163"/>
      <c r="C39" s="163"/>
      <c r="D39" s="163"/>
      <c r="E39" s="163"/>
      <c r="F39"/>
    </row>
    <row r="40" spans="1:6">
      <c r="A40"/>
      <c r="B40" s="163"/>
      <c r="C40" s="163"/>
      <c r="D40" s="163"/>
      <c r="E40" s="163"/>
      <c r="F40"/>
    </row>
    <row r="41" spans="1:6">
      <c r="A41"/>
      <c r="B41" s="163"/>
      <c r="C41" s="163"/>
      <c r="D41" s="163"/>
      <c r="E41" s="163"/>
      <c r="F41" s="163"/>
    </row>
    <row r="42" spans="1:6">
      <c r="A42" s="594"/>
      <c r="B42"/>
      <c r="D42" s="238"/>
      <c r="E42" s="238"/>
      <c r="F42" s="238"/>
    </row>
    <row r="43" spans="1:6">
      <c r="A43" s="594"/>
      <c r="B43"/>
      <c r="D43" s="238"/>
      <c r="E43" s="238"/>
      <c r="F43" s="238"/>
    </row>
    <row r="44" spans="1:6">
      <c r="A44" s="594"/>
      <c r="B44"/>
      <c r="D44" s="238"/>
      <c r="E44" s="238"/>
      <c r="F44" s="238"/>
    </row>
    <row r="45" spans="1:6">
      <c r="A45"/>
      <c r="B45"/>
      <c r="C45"/>
      <c r="D45" s="163"/>
      <c r="E45" s="163"/>
      <c r="F45" s="163"/>
    </row>
  </sheetData>
  <mergeCells count="1">
    <mergeCell ref="A42:A4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F9083-7672-4FC8-9B9D-A4E26DFBBF1A}">
  <dimension ref="A1:AC42"/>
  <sheetViews>
    <sheetView zoomScale="90" zoomScaleNormal="90" workbookViewId="0">
      <pane xSplit="1" ySplit="1" topLeftCell="B2" activePane="bottomRight" state="frozen"/>
      <selection pane="bottomRight" activeCell="B88" sqref="B88:K88"/>
      <selection pane="bottomLeft" activeCell="B88" sqref="B88:K88"/>
      <selection pane="topRight" activeCell="B88" sqref="B88:K88"/>
    </sheetView>
  </sheetViews>
  <sheetFormatPr defaultColWidth="8.7109375" defaultRowHeight="11.45" customHeight="1"/>
  <cols>
    <col min="1" max="4" width="8.7109375" style="239"/>
    <col min="5" max="5" width="20.28515625" style="239" bestFit="1" customWidth="1"/>
    <col min="6" max="7" width="8.7109375" style="239"/>
    <col min="8" max="8" width="44.7109375" style="239" bestFit="1" customWidth="1"/>
    <col min="9" max="9" width="9.85546875" style="239" bestFit="1" customWidth="1"/>
    <col min="10" max="10" width="13.5703125" style="239" bestFit="1" customWidth="1"/>
    <col min="11" max="16384" width="8.7109375" style="239"/>
  </cols>
  <sheetData>
    <row r="1" spans="1:29" ht="26.45" customHeight="1"/>
    <row r="2" spans="1:29" ht="11.45" customHeight="1">
      <c r="B2" s="240" t="s">
        <v>418</v>
      </c>
      <c r="E2" s="240"/>
      <c r="F2" s="240"/>
      <c r="G2" s="240"/>
      <c r="H2" s="240"/>
      <c r="I2" s="240"/>
      <c r="J2" s="240"/>
      <c r="M2" s="241" t="s">
        <v>156</v>
      </c>
      <c r="N2" s="241" t="s">
        <v>419</v>
      </c>
      <c r="O2" s="241" t="s">
        <v>420</v>
      </c>
      <c r="P2" s="241"/>
      <c r="Q2" s="241"/>
      <c r="R2" s="241"/>
      <c r="S2" s="241"/>
      <c r="T2" s="241"/>
      <c r="U2" s="241"/>
      <c r="V2" s="241"/>
      <c r="W2" s="241"/>
      <c r="X2" s="241"/>
      <c r="Y2" s="241"/>
      <c r="Z2" s="241"/>
      <c r="AA2" s="241"/>
      <c r="AB2" s="241"/>
      <c r="AC2" s="241"/>
    </row>
    <row r="3" spans="1:29" ht="18">
      <c r="A3" s="242" t="s">
        <v>421</v>
      </c>
      <c r="B3" s="239">
        <v>32</v>
      </c>
      <c r="C3" s="239">
        <v>15</v>
      </c>
      <c r="E3" s="243" t="s">
        <v>27</v>
      </c>
      <c r="F3" s="240"/>
      <c r="G3" s="240"/>
      <c r="H3" s="240"/>
      <c r="I3" s="240"/>
      <c r="J3" s="240"/>
      <c r="M3" s="241" t="s">
        <v>422</v>
      </c>
      <c r="N3" s="241">
        <v>0</v>
      </c>
      <c r="O3" s="241">
        <v>0</v>
      </c>
      <c r="P3" s="189">
        <v>5.2046858534077503</v>
      </c>
      <c r="Q3" s="241"/>
      <c r="R3" s="244"/>
      <c r="S3" s="244"/>
      <c r="T3" s="244"/>
      <c r="U3" s="244"/>
      <c r="V3" s="244"/>
      <c r="W3" s="244"/>
      <c r="X3" s="244"/>
      <c r="Y3" s="244"/>
      <c r="Z3" s="244"/>
      <c r="AA3" s="244"/>
      <c r="AB3" s="244"/>
      <c r="AC3" s="244"/>
    </row>
    <row r="4" spans="1:29" ht="18">
      <c r="A4" s="245" t="s">
        <v>423</v>
      </c>
      <c r="B4" s="239">
        <v>39</v>
      </c>
      <c r="C4" s="239">
        <v>4</v>
      </c>
      <c r="E4" s="246" t="s">
        <v>424</v>
      </c>
      <c r="F4" s="240"/>
      <c r="G4" s="240"/>
      <c r="H4" s="240"/>
      <c r="I4" s="240"/>
      <c r="J4" s="240"/>
      <c r="M4" s="241" t="s">
        <v>425</v>
      </c>
      <c r="N4" s="241">
        <v>12.886687392466319</v>
      </c>
      <c r="O4" s="241">
        <v>12.536417147273918</v>
      </c>
      <c r="P4" s="189">
        <v>4.2837934917272591</v>
      </c>
      <c r="Q4" s="241"/>
      <c r="R4" s="244"/>
      <c r="S4" s="243" t="s">
        <v>27</v>
      </c>
      <c r="T4" s="244"/>
      <c r="U4" s="244"/>
      <c r="V4" s="244"/>
      <c r="W4" s="244"/>
      <c r="X4" s="244"/>
      <c r="Y4" s="244"/>
      <c r="Z4" s="244"/>
      <c r="AA4" s="244"/>
      <c r="AB4" s="244"/>
      <c r="AC4" s="244"/>
    </row>
    <row r="5" spans="1:29" ht="11.45" customHeight="1">
      <c r="A5" s="245" t="s">
        <v>426</v>
      </c>
      <c r="B5" s="239">
        <v>40</v>
      </c>
      <c r="C5" s="239">
        <v>3</v>
      </c>
      <c r="E5" s="240"/>
      <c r="F5" s="240"/>
      <c r="G5" s="240"/>
      <c r="H5" s="240"/>
      <c r="I5" s="240"/>
      <c r="J5" s="240"/>
      <c r="M5" s="241" t="s">
        <v>427</v>
      </c>
      <c r="N5" s="241">
        <v>4.1077149760865499</v>
      </c>
      <c r="O5" s="241">
        <v>6.7995910020449895</v>
      </c>
      <c r="P5" s="189">
        <v>2.62</v>
      </c>
      <c r="Q5" s="241"/>
      <c r="R5" s="244"/>
      <c r="S5" s="246" t="s">
        <v>428</v>
      </c>
      <c r="T5" s="244"/>
      <c r="U5" s="244"/>
      <c r="V5" s="244"/>
      <c r="W5" s="244"/>
      <c r="X5" s="244"/>
      <c r="Y5" s="244"/>
      <c r="Z5" s="244"/>
      <c r="AA5" s="244"/>
      <c r="AB5" s="244"/>
      <c r="AC5" s="244"/>
    </row>
    <row r="6" spans="1:29" ht="11.45" customHeight="1">
      <c r="A6" s="245" t="s">
        <v>429</v>
      </c>
      <c r="B6" s="239">
        <v>41</v>
      </c>
      <c r="C6" s="239">
        <v>11</v>
      </c>
      <c r="E6" s="240"/>
      <c r="F6" s="240"/>
      <c r="G6" s="240"/>
      <c r="H6" s="240"/>
      <c r="I6" s="240"/>
      <c r="J6" s="240"/>
      <c r="M6" s="241" t="s">
        <v>430</v>
      </c>
      <c r="N6" s="241">
        <v>2.8647339570047352</v>
      </c>
      <c r="O6" s="241">
        <v>1.5527116520494004</v>
      </c>
      <c r="P6" s="189">
        <v>1.9253343609016618</v>
      </c>
      <c r="Q6" s="241"/>
      <c r="R6" s="244"/>
      <c r="S6" s="244"/>
      <c r="T6" s="244"/>
      <c r="U6" s="244"/>
      <c r="V6" s="244"/>
      <c r="W6" s="244"/>
      <c r="X6" s="244"/>
      <c r="Y6" s="244"/>
      <c r="Z6" s="244"/>
      <c r="AA6" s="244"/>
      <c r="AB6" s="244"/>
      <c r="AC6" s="244"/>
    </row>
    <row r="7" spans="1:29" ht="11.45" customHeight="1">
      <c r="A7" s="245" t="s">
        <v>431</v>
      </c>
      <c r="B7" s="239">
        <v>43</v>
      </c>
      <c r="C7" s="239">
        <v>20</v>
      </c>
      <c r="E7" s="240"/>
      <c r="F7" s="240"/>
      <c r="G7" s="240"/>
      <c r="H7" s="240"/>
      <c r="I7" s="240"/>
      <c r="J7" s="240"/>
      <c r="M7" s="241" t="s">
        <v>432</v>
      </c>
      <c r="N7" s="241">
        <v>5.6434874760093177</v>
      </c>
      <c r="O7" s="241">
        <v>0.58504414423997453</v>
      </c>
      <c r="P7" s="189">
        <v>1.9100000000000001</v>
      </c>
      <c r="Q7" s="241"/>
      <c r="R7" s="244"/>
      <c r="S7" s="244"/>
      <c r="T7" s="244"/>
      <c r="U7" s="244"/>
      <c r="V7" s="244"/>
      <c r="W7" s="244"/>
      <c r="X7" s="244"/>
      <c r="Y7" s="244"/>
      <c r="Z7" s="244"/>
      <c r="AA7" s="244"/>
      <c r="AB7" s="244"/>
      <c r="AC7" s="244"/>
    </row>
    <row r="8" spans="1:29" ht="11.45" customHeight="1">
      <c r="A8" s="245" t="s">
        <v>90</v>
      </c>
      <c r="B8" s="239">
        <v>47</v>
      </c>
      <c r="C8" s="239">
        <v>16</v>
      </c>
      <c r="E8" s="240"/>
      <c r="F8" s="240"/>
      <c r="G8" s="240"/>
      <c r="H8" s="240"/>
      <c r="I8" s="240"/>
      <c r="J8" s="240"/>
      <c r="M8" s="241" t="s">
        <v>92</v>
      </c>
      <c r="N8" s="241">
        <v>0.3518251731290355</v>
      </c>
      <c r="O8" s="241">
        <v>8.0211213799591605E-2</v>
      </c>
      <c r="P8" s="189">
        <v>1.6621493989537242</v>
      </c>
      <c r="Q8" s="241"/>
      <c r="R8" s="244"/>
      <c r="S8" s="244"/>
      <c r="T8" s="244"/>
      <c r="U8" s="244"/>
      <c r="V8" s="244"/>
      <c r="W8" s="244"/>
      <c r="X8" s="244"/>
      <c r="Y8" s="244"/>
      <c r="Z8" s="244"/>
      <c r="AA8" s="244"/>
      <c r="AB8" s="244"/>
      <c r="AC8" s="244"/>
    </row>
    <row r="9" spans="1:29" ht="11.45" customHeight="1">
      <c r="A9" s="245" t="s">
        <v>433</v>
      </c>
      <c r="B9" s="239">
        <v>49</v>
      </c>
      <c r="C9" s="239">
        <v>7</v>
      </c>
      <c r="E9" s="240"/>
      <c r="F9" s="240"/>
      <c r="G9" s="240"/>
      <c r="H9" s="240"/>
      <c r="I9" s="240"/>
      <c r="J9" s="240"/>
      <c r="M9" s="241" t="s">
        <v>434</v>
      </c>
      <c r="N9" s="241">
        <v>7.9066802353464114</v>
      </c>
      <c r="O9" s="241">
        <v>2.7271833443944642</v>
      </c>
      <c r="P9" s="189">
        <v>1.35</v>
      </c>
      <c r="Q9" s="241"/>
      <c r="R9" s="244"/>
      <c r="S9" s="244"/>
      <c r="T9" s="244"/>
      <c r="U9" s="244"/>
      <c r="V9" s="244"/>
      <c r="W9" s="244"/>
      <c r="X9" s="244"/>
      <c r="Y9" s="244"/>
      <c r="Z9" s="244"/>
      <c r="AA9" s="244"/>
      <c r="AB9" s="244"/>
      <c r="AC9" s="244"/>
    </row>
    <row r="10" spans="1:29" ht="11.45" customHeight="1">
      <c r="A10" s="245" t="s">
        <v>435</v>
      </c>
      <c r="B10" s="239">
        <v>50</v>
      </c>
      <c r="C10" s="239">
        <v>11</v>
      </c>
      <c r="E10" s="240"/>
      <c r="F10" s="240"/>
      <c r="G10" s="240"/>
      <c r="H10" s="240"/>
      <c r="I10" s="240"/>
      <c r="J10" s="240"/>
      <c r="M10" s="241" t="s">
        <v>436</v>
      </c>
      <c r="N10" s="241">
        <v>3.3856984826624603</v>
      </c>
      <c r="O10" s="241">
        <v>1.1169084125692186</v>
      </c>
      <c r="P10" s="189">
        <v>1.2237661319777775</v>
      </c>
      <c r="Q10" s="241"/>
      <c r="R10" s="244"/>
      <c r="S10" s="244"/>
      <c r="T10" s="244"/>
      <c r="U10" s="244"/>
      <c r="V10" s="244"/>
      <c r="W10" s="244"/>
      <c r="X10" s="244"/>
      <c r="Y10" s="244"/>
      <c r="Z10" s="244"/>
      <c r="AA10" s="244"/>
      <c r="AB10" s="244"/>
      <c r="AC10" s="244"/>
    </row>
    <row r="11" spans="1:29" ht="11.45" customHeight="1">
      <c r="A11" s="245" t="s">
        <v>430</v>
      </c>
      <c r="B11" s="239">
        <v>51</v>
      </c>
      <c r="C11" s="239">
        <v>5</v>
      </c>
      <c r="E11" s="240"/>
      <c r="F11" s="240"/>
      <c r="G11" s="240"/>
      <c r="H11" s="240"/>
      <c r="I11" s="240"/>
      <c r="J11" s="240"/>
      <c r="M11" s="241" t="s">
        <v>437</v>
      </c>
      <c r="N11" s="241">
        <v>0</v>
      </c>
      <c r="O11" s="241">
        <v>0</v>
      </c>
      <c r="P11" s="189">
        <v>1.1801378201112809</v>
      </c>
      <c r="Q11" s="241"/>
      <c r="R11" s="244"/>
      <c r="S11" s="244"/>
      <c r="T11" s="244"/>
      <c r="U11" s="244"/>
      <c r="V11" s="244"/>
      <c r="W11" s="244"/>
      <c r="X11" s="244"/>
      <c r="Y11" s="244"/>
      <c r="Z11" s="244"/>
      <c r="AA11" s="244"/>
      <c r="AB11" s="244"/>
      <c r="AC11" s="244"/>
    </row>
    <row r="12" spans="1:29" ht="11.45" customHeight="1">
      <c r="A12" s="245" t="s">
        <v>438</v>
      </c>
      <c r="B12" s="239">
        <v>52</v>
      </c>
      <c r="C12" s="239">
        <v>0</v>
      </c>
      <c r="E12" s="240"/>
      <c r="F12" s="240"/>
      <c r="G12" s="240"/>
      <c r="H12" s="240"/>
      <c r="I12" s="240"/>
      <c r="J12" s="240"/>
      <c r="M12" s="241" t="s">
        <v>439</v>
      </c>
      <c r="N12" s="241">
        <v>0</v>
      </c>
      <c r="O12" s="241">
        <v>0</v>
      </c>
      <c r="P12" s="189">
        <v>1.166009895439811</v>
      </c>
      <c r="Q12" s="241"/>
      <c r="R12" s="244"/>
      <c r="S12" s="244"/>
      <c r="T12" s="244"/>
      <c r="U12" s="244"/>
      <c r="V12" s="244"/>
      <c r="W12" s="244"/>
      <c r="X12" s="244"/>
      <c r="Y12" s="244"/>
      <c r="Z12" s="244"/>
      <c r="AA12" s="244"/>
      <c r="AB12" s="244"/>
      <c r="AC12" s="244"/>
    </row>
    <row r="13" spans="1:29" ht="11.45" customHeight="1">
      <c r="A13" s="245" t="s">
        <v>440</v>
      </c>
      <c r="B13" s="239">
        <v>64</v>
      </c>
      <c r="C13" s="239">
        <v>15</v>
      </c>
      <c r="E13" s="240"/>
      <c r="F13" s="240"/>
      <c r="G13" s="240"/>
      <c r="H13" s="240"/>
      <c r="I13" s="240"/>
      <c r="J13" s="240"/>
      <c r="M13" s="241" t="s">
        <v>440</v>
      </c>
      <c r="N13" s="241">
        <v>11.173210817979443</v>
      </c>
      <c r="O13" s="241">
        <v>6.2409288824383164</v>
      </c>
      <c r="P13" s="189">
        <v>1.1599999999999999</v>
      </c>
      <c r="Q13" s="241"/>
      <c r="R13" s="244"/>
      <c r="S13" s="244"/>
      <c r="T13" s="244"/>
      <c r="U13" s="244"/>
      <c r="V13" s="244"/>
      <c r="W13" s="244"/>
      <c r="X13" s="244"/>
      <c r="Y13" s="244"/>
      <c r="Z13" s="244"/>
      <c r="AA13" s="244"/>
      <c r="AB13" s="244"/>
      <c r="AC13" s="244"/>
    </row>
    <row r="14" spans="1:29" ht="11.45" customHeight="1">
      <c r="A14" s="245" t="s">
        <v>441</v>
      </c>
      <c r="B14" s="239">
        <v>67</v>
      </c>
      <c r="C14" s="239">
        <v>43</v>
      </c>
      <c r="E14" s="240"/>
      <c r="F14" s="240"/>
      <c r="G14" s="240"/>
      <c r="H14" s="240"/>
      <c r="I14" s="240"/>
      <c r="J14" s="240"/>
      <c r="M14" s="241" t="s">
        <v>94</v>
      </c>
      <c r="N14" s="241">
        <v>3.6510519406265693</v>
      </c>
      <c r="O14" s="241">
        <v>1.6569443079395729</v>
      </c>
      <c r="P14" s="189">
        <v>1.0727584891262878</v>
      </c>
      <c r="Q14" s="241"/>
      <c r="R14" s="244"/>
      <c r="S14" s="244"/>
      <c r="T14" s="244"/>
      <c r="U14" s="244"/>
      <c r="V14" s="244"/>
      <c r="W14" s="244"/>
      <c r="X14" s="244"/>
      <c r="Y14" s="244"/>
      <c r="Z14" s="244"/>
      <c r="AA14" s="244"/>
      <c r="AB14" s="244"/>
      <c r="AC14" s="244"/>
    </row>
    <row r="15" spans="1:29" ht="11.45" customHeight="1">
      <c r="A15" s="245" t="s">
        <v>439</v>
      </c>
      <c r="B15" s="239">
        <v>68</v>
      </c>
      <c r="C15" s="239">
        <v>9</v>
      </c>
      <c r="E15" s="240"/>
      <c r="F15" s="240"/>
      <c r="G15" s="240"/>
      <c r="H15" s="240"/>
      <c r="I15" s="240"/>
      <c r="J15" s="240"/>
      <c r="M15" s="241" t="s">
        <v>442</v>
      </c>
      <c r="N15" s="241">
        <v>48.739093155797647</v>
      </c>
      <c r="O15" s="241">
        <v>43.637677232908878</v>
      </c>
      <c r="P15" s="189">
        <v>0.94000000000000006</v>
      </c>
      <c r="Q15" s="241"/>
      <c r="R15" s="244"/>
      <c r="S15" s="244"/>
      <c r="T15" s="244"/>
      <c r="U15" s="244"/>
      <c r="V15" s="244"/>
      <c r="W15" s="244"/>
      <c r="X15" s="244"/>
      <c r="Y15" s="244"/>
      <c r="Z15" s="244"/>
      <c r="AA15" s="244"/>
      <c r="AB15" s="244"/>
      <c r="AC15" s="244"/>
    </row>
    <row r="16" spans="1:29" ht="11.45" customHeight="1">
      <c r="A16" s="245" t="s">
        <v>443</v>
      </c>
      <c r="B16" s="239">
        <v>71</v>
      </c>
      <c r="C16" s="239">
        <v>45</v>
      </c>
      <c r="E16" s="240"/>
      <c r="F16" s="240"/>
      <c r="G16" s="240"/>
      <c r="H16" s="240"/>
      <c r="I16" s="240"/>
      <c r="J16" s="240"/>
      <c r="M16" s="241" t="s">
        <v>433</v>
      </c>
      <c r="N16" s="241">
        <v>0.63934233917178773</v>
      </c>
      <c r="O16" s="241">
        <v>1.4884786031200801</v>
      </c>
      <c r="P16" s="189">
        <v>0.89999999999999991</v>
      </c>
      <c r="Q16" s="241"/>
      <c r="R16" s="244"/>
      <c r="S16" s="244"/>
      <c r="T16" s="244"/>
      <c r="U16" s="244"/>
      <c r="V16" s="244"/>
      <c r="W16" s="244"/>
      <c r="X16" s="244"/>
      <c r="Y16" s="244"/>
      <c r="Z16" s="244"/>
      <c r="AA16" s="244"/>
      <c r="AB16" s="244"/>
      <c r="AC16" s="244"/>
    </row>
    <row r="17" spans="1:29" ht="11.45" customHeight="1">
      <c r="A17" s="245" t="s">
        <v>91</v>
      </c>
      <c r="B17" s="239">
        <v>72</v>
      </c>
      <c r="C17" s="239">
        <v>19</v>
      </c>
      <c r="E17" s="240"/>
      <c r="F17" s="240"/>
      <c r="G17" s="240"/>
      <c r="H17" s="240"/>
      <c r="I17" s="240"/>
      <c r="J17" s="240"/>
      <c r="M17" s="241" t="s">
        <v>443</v>
      </c>
      <c r="N17" s="241">
        <v>0</v>
      </c>
      <c r="O17" s="241">
        <v>0</v>
      </c>
      <c r="P17" s="189">
        <v>0.69359999999999999</v>
      </c>
      <c r="Q17" s="241"/>
      <c r="R17" s="244"/>
      <c r="S17" s="244"/>
      <c r="T17" s="244"/>
      <c r="U17" s="244"/>
      <c r="V17" s="244"/>
      <c r="W17" s="244"/>
      <c r="X17" s="244"/>
      <c r="Y17" s="244"/>
      <c r="Z17" s="244"/>
      <c r="AA17" s="244"/>
      <c r="AB17" s="244"/>
      <c r="AC17" s="244"/>
    </row>
    <row r="18" spans="1:29" ht="11.45" customHeight="1">
      <c r="A18" s="245" t="s">
        <v>444</v>
      </c>
      <c r="B18" s="239">
        <v>73</v>
      </c>
      <c r="C18" s="239">
        <v>36</v>
      </c>
      <c r="E18" s="240"/>
      <c r="F18" s="240"/>
      <c r="G18" s="240"/>
      <c r="H18" s="240"/>
      <c r="I18" s="240"/>
      <c r="J18" s="240"/>
      <c r="M18" s="241" t="s">
        <v>445</v>
      </c>
      <c r="N18" s="241">
        <v>22.898737636100485</v>
      </c>
      <c r="O18" s="241">
        <v>25.885057471264368</v>
      </c>
      <c r="P18" s="189">
        <v>0.64</v>
      </c>
      <c r="Q18" s="241"/>
      <c r="R18" s="244"/>
      <c r="S18" s="244"/>
      <c r="T18" s="244"/>
      <c r="U18" s="244"/>
      <c r="V18" s="244"/>
      <c r="W18" s="244"/>
      <c r="X18" s="244"/>
      <c r="Y18" s="244"/>
      <c r="Z18" s="244"/>
      <c r="AA18" s="244"/>
      <c r="AB18" s="244"/>
      <c r="AC18" s="244"/>
    </row>
    <row r="19" spans="1:29" ht="11.45" customHeight="1">
      <c r="A19" s="245" t="s">
        <v>432</v>
      </c>
      <c r="B19" s="239">
        <v>77</v>
      </c>
      <c r="C19" s="239">
        <v>-13</v>
      </c>
      <c r="E19" s="240"/>
      <c r="F19" s="240"/>
      <c r="G19" s="240"/>
      <c r="H19" s="240"/>
      <c r="I19" s="240"/>
      <c r="J19" s="240"/>
      <c r="M19" s="241" t="s">
        <v>446</v>
      </c>
      <c r="N19" s="241">
        <v>0</v>
      </c>
      <c r="O19" s="241">
        <v>0</v>
      </c>
      <c r="P19" s="189">
        <v>0.45</v>
      </c>
      <c r="Q19" s="241"/>
      <c r="R19" s="244"/>
      <c r="S19" s="244"/>
      <c r="T19" s="244"/>
      <c r="U19" s="244"/>
      <c r="V19" s="244"/>
      <c r="W19" s="244"/>
      <c r="X19" s="244"/>
      <c r="Y19" s="244"/>
      <c r="Z19" s="244"/>
      <c r="AA19" s="244"/>
      <c r="AB19" s="244"/>
      <c r="AC19" s="244"/>
    </row>
    <row r="20" spans="1:29" ht="11.45" customHeight="1">
      <c r="A20" s="245" t="s">
        <v>447</v>
      </c>
      <c r="B20" s="239">
        <v>79</v>
      </c>
      <c r="C20" s="239">
        <v>52</v>
      </c>
      <c r="E20" s="240"/>
      <c r="F20" s="240"/>
      <c r="G20" s="240"/>
      <c r="H20" s="240"/>
      <c r="I20" s="240"/>
      <c r="J20" s="240"/>
      <c r="M20" s="241" t="s">
        <v>90</v>
      </c>
      <c r="N20" s="241">
        <v>2.2762494773647841</v>
      </c>
      <c r="O20" s="241">
        <v>0.34521508089936859</v>
      </c>
      <c r="P20" s="189">
        <v>0.40729046264351981</v>
      </c>
      <c r="Q20" s="241"/>
      <c r="R20" s="244"/>
      <c r="S20" s="244"/>
      <c r="T20" s="244"/>
      <c r="U20" s="244"/>
      <c r="V20" s="244"/>
      <c r="W20" s="244"/>
      <c r="X20" s="244"/>
      <c r="Y20" s="244"/>
      <c r="Z20" s="244"/>
      <c r="AA20" s="244"/>
      <c r="AB20" s="244"/>
      <c r="AC20" s="244"/>
    </row>
    <row r="21" spans="1:29" ht="11.45" customHeight="1">
      <c r="A21" s="245" t="s">
        <v>427</v>
      </c>
      <c r="B21" s="239">
        <v>87</v>
      </c>
      <c r="C21" s="239">
        <v>0</v>
      </c>
      <c r="E21" s="240"/>
      <c r="F21" s="240"/>
      <c r="G21" s="240"/>
      <c r="H21" s="240"/>
      <c r="I21" s="240"/>
      <c r="J21" s="240"/>
      <c r="M21" s="241" t="s">
        <v>448</v>
      </c>
      <c r="N21" s="241">
        <v>3.3370680890856605</v>
      </c>
      <c r="O21" s="241">
        <v>0.56061129670160881</v>
      </c>
      <c r="P21" s="189">
        <v>0.4</v>
      </c>
      <c r="Q21" s="241"/>
      <c r="R21" s="244"/>
      <c r="S21" s="244"/>
      <c r="T21" s="244"/>
      <c r="U21" s="244"/>
      <c r="V21" s="244"/>
      <c r="W21" s="244"/>
      <c r="X21" s="244"/>
      <c r="Y21" s="244"/>
      <c r="Z21" s="244"/>
      <c r="AA21" s="244"/>
      <c r="AB21" s="244"/>
      <c r="AC21" s="244"/>
    </row>
    <row r="22" spans="1:29" ht="11.45" customHeight="1">
      <c r="A22" s="245" t="s">
        <v>449</v>
      </c>
      <c r="B22" s="239">
        <v>90</v>
      </c>
      <c r="C22" s="239">
        <v>21</v>
      </c>
      <c r="E22" s="240"/>
      <c r="F22" s="240"/>
      <c r="G22" s="240"/>
      <c r="H22" s="240"/>
      <c r="I22" s="240"/>
      <c r="J22" s="240"/>
      <c r="M22" s="241" t="s">
        <v>447</v>
      </c>
      <c r="N22" s="241">
        <v>5.8836427218743195</v>
      </c>
      <c r="O22" s="241">
        <v>6.5070893579524975</v>
      </c>
      <c r="P22" s="189">
        <v>0.4</v>
      </c>
      <c r="Q22" s="241"/>
      <c r="R22" s="244"/>
      <c r="S22" s="244"/>
      <c r="T22" s="244"/>
      <c r="U22" s="244"/>
      <c r="V22" s="244"/>
      <c r="W22" s="244"/>
      <c r="X22" s="244"/>
      <c r="Y22" s="244"/>
      <c r="Z22" s="244"/>
      <c r="AA22" s="244"/>
      <c r="AB22" s="244"/>
      <c r="AC22" s="244"/>
    </row>
    <row r="23" spans="1:29" ht="11.45" customHeight="1">
      <c r="A23" s="245" t="s">
        <v>450</v>
      </c>
      <c r="B23" s="239">
        <v>92</v>
      </c>
      <c r="C23" s="239">
        <v>-7</v>
      </c>
      <c r="E23" s="240"/>
      <c r="F23" s="240"/>
      <c r="G23" s="240"/>
      <c r="H23" s="240"/>
      <c r="I23" s="240"/>
      <c r="J23" s="240"/>
      <c r="M23" s="241" t="s">
        <v>426</v>
      </c>
      <c r="N23" s="241">
        <v>0</v>
      </c>
      <c r="O23" s="241">
        <v>0</v>
      </c>
      <c r="P23" s="189">
        <v>0.36722067639526612</v>
      </c>
      <c r="Q23" s="241"/>
      <c r="R23" s="244"/>
      <c r="S23" s="244"/>
      <c r="T23" s="244"/>
      <c r="U23" s="244"/>
      <c r="V23" s="244"/>
      <c r="W23" s="244"/>
      <c r="X23" s="244"/>
      <c r="Y23" s="244"/>
      <c r="Z23" s="244"/>
      <c r="AA23" s="244"/>
      <c r="AB23" s="244"/>
      <c r="AC23" s="244"/>
    </row>
    <row r="24" spans="1:29" ht="11.45" customHeight="1">
      <c r="A24" s="245" t="s">
        <v>92</v>
      </c>
      <c r="B24" s="239">
        <v>95</v>
      </c>
      <c r="C24" s="239">
        <v>48</v>
      </c>
      <c r="E24" s="240"/>
      <c r="F24" s="240"/>
      <c r="G24" s="240"/>
      <c r="H24" s="240"/>
      <c r="I24" s="240"/>
      <c r="J24" s="240"/>
      <c r="M24" s="241" t="s">
        <v>444</v>
      </c>
      <c r="N24" s="241">
        <v>5.1862921966731896</v>
      </c>
      <c r="O24" s="241">
        <v>0.73290110960202959</v>
      </c>
      <c r="P24" s="189">
        <v>0.35100000000000003</v>
      </c>
      <c r="Q24" s="241"/>
      <c r="R24" s="244"/>
      <c r="S24" s="244"/>
      <c r="T24" s="244"/>
      <c r="U24" s="244"/>
      <c r="V24" s="244"/>
      <c r="W24" s="244"/>
      <c r="X24" s="244"/>
      <c r="Y24" s="244"/>
      <c r="Z24" s="244"/>
      <c r="AA24" s="244"/>
      <c r="AB24" s="244"/>
      <c r="AC24" s="244"/>
    </row>
    <row r="25" spans="1:29" ht="11.45" customHeight="1">
      <c r="A25" s="245" t="s">
        <v>94</v>
      </c>
      <c r="B25" s="239">
        <v>105</v>
      </c>
      <c r="C25" s="239">
        <v>43</v>
      </c>
      <c r="E25" s="240"/>
      <c r="F25" s="240"/>
      <c r="G25" s="240"/>
      <c r="H25" s="240"/>
      <c r="I25" s="240"/>
      <c r="J25" s="240"/>
      <c r="M25" s="241" t="s">
        <v>423</v>
      </c>
      <c r="N25" s="241">
        <v>34.300506343517092</v>
      </c>
      <c r="O25" s="241">
        <v>29.705430024843249</v>
      </c>
      <c r="P25" s="189">
        <v>0.14379999999999998</v>
      </c>
      <c r="Q25" s="241"/>
      <c r="R25" s="244"/>
      <c r="S25" s="244"/>
      <c r="T25" s="244"/>
      <c r="U25" s="244"/>
      <c r="V25" s="244"/>
      <c r="W25" s="244"/>
      <c r="X25" s="244"/>
      <c r="Y25" s="244"/>
      <c r="Z25" s="244"/>
      <c r="AA25" s="244"/>
      <c r="AB25" s="244"/>
      <c r="AC25" s="244"/>
    </row>
    <row r="26" spans="1:29" ht="11.45" customHeight="1">
      <c r="A26" s="245" t="s">
        <v>445</v>
      </c>
      <c r="B26" s="239">
        <v>108</v>
      </c>
      <c r="C26" s="239">
        <v>48</v>
      </c>
      <c r="E26" s="240"/>
      <c r="F26" s="240"/>
      <c r="G26" s="240"/>
      <c r="H26" s="240"/>
      <c r="I26" s="240"/>
      <c r="J26" s="240"/>
      <c r="M26" s="241" t="s">
        <v>421</v>
      </c>
      <c r="N26" s="241">
        <v>0</v>
      </c>
      <c r="O26" s="241">
        <v>0</v>
      </c>
      <c r="P26" s="189">
        <v>0.14000000000000001</v>
      </c>
      <c r="Q26" s="241"/>
      <c r="R26" s="244"/>
      <c r="S26" s="244"/>
      <c r="T26" s="244"/>
      <c r="U26" s="244"/>
      <c r="V26" s="244"/>
      <c r="W26" s="244"/>
      <c r="X26" s="244"/>
      <c r="Y26" s="244"/>
      <c r="Z26" s="244"/>
      <c r="AA26" s="244"/>
      <c r="AB26" s="244"/>
      <c r="AC26" s="244"/>
    </row>
    <row r="27" spans="1:29" ht="11.45" customHeight="1">
      <c r="A27" s="245" t="s">
        <v>425</v>
      </c>
      <c r="B27" s="239">
        <v>118</v>
      </c>
      <c r="C27" s="239">
        <v>88</v>
      </c>
      <c r="E27" s="240"/>
      <c r="F27" s="240"/>
      <c r="G27" s="240"/>
      <c r="H27" s="240"/>
      <c r="I27" s="240"/>
      <c r="J27" s="240"/>
      <c r="M27" s="241" t="s">
        <v>450</v>
      </c>
      <c r="N27" s="241">
        <v>9.7154690022907797</v>
      </c>
      <c r="O27" s="241">
        <v>11.855176853350036</v>
      </c>
      <c r="P27" s="189">
        <v>0.10853458056449559</v>
      </c>
      <c r="Q27" s="241"/>
      <c r="R27" s="244"/>
      <c r="S27" s="244"/>
      <c r="T27" s="244"/>
      <c r="U27" s="244"/>
      <c r="V27" s="244"/>
      <c r="W27" s="244"/>
      <c r="X27" s="244"/>
      <c r="Y27" s="244"/>
      <c r="Z27" s="244"/>
      <c r="AA27" s="244"/>
      <c r="AB27" s="244"/>
      <c r="AC27" s="244"/>
    </row>
    <row r="28" spans="1:29" ht="11.45" customHeight="1">
      <c r="E28" s="240"/>
      <c r="F28" s="240"/>
      <c r="G28" s="240"/>
      <c r="H28" s="240"/>
      <c r="I28" s="240"/>
      <c r="J28" s="240"/>
      <c r="M28" s="241" t="s">
        <v>431</v>
      </c>
      <c r="N28" s="241">
        <v>12.849002298672952</v>
      </c>
      <c r="O28" s="241">
        <v>3.0522306855277477</v>
      </c>
      <c r="P28" s="189">
        <v>7.7039122188088102E-2</v>
      </c>
      <c r="Q28" s="241"/>
      <c r="R28" s="244"/>
      <c r="S28" s="244"/>
      <c r="T28" s="244"/>
      <c r="U28" s="244"/>
      <c r="V28" s="244"/>
      <c r="W28" s="244"/>
      <c r="X28" s="244"/>
      <c r="Y28" s="244"/>
      <c r="Z28" s="244"/>
      <c r="AA28" s="244"/>
      <c r="AB28" s="244"/>
      <c r="AC28" s="244"/>
    </row>
    <row r="29" spans="1:29" ht="11.45" customHeight="1">
      <c r="A29" s="240"/>
      <c r="B29" s="240"/>
      <c r="C29" s="240"/>
      <c r="D29" s="240"/>
      <c r="E29" s="240"/>
      <c r="F29" s="240"/>
      <c r="G29" s="240"/>
      <c r="H29" s="240"/>
      <c r="I29" s="240"/>
      <c r="J29" s="240"/>
      <c r="M29" s="241" t="s">
        <v>451</v>
      </c>
      <c r="N29" s="241">
        <v>6.9380407366222778</v>
      </c>
      <c r="O29" s="241">
        <v>4.8440908507635054</v>
      </c>
      <c r="P29" s="189">
        <v>0</v>
      </c>
      <c r="Q29" s="241"/>
      <c r="R29" s="244"/>
      <c r="S29" s="244"/>
      <c r="T29" s="244"/>
      <c r="U29" s="244"/>
      <c r="V29" s="244"/>
      <c r="W29" s="244"/>
      <c r="X29" s="244"/>
      <c r="Y29" s="244"/>
      <c r="Z29" s="244"/>
      <c r="AA29" s="244"/>
      <c r="AB29" s="244"/>
      <c r="AC29" s="244"/>
    </row>
    <row r="30" spans="1:29" ht="11.45" customHeight="1">
      <c r="A30" s="240"/>
      <c r="B30" s="240"/>
      <c r="C30" s="240"/>
      <c r="D30" s="240"/>
      <c r="E30" s="240"/>
      <c r="F30" s="240"/>
      <c r="G30" s="240"/>
      <c r="H30" s="240"/>
      <c r="I30" s="240"/>
      <c r="J30" s="240"/>
      <c r="M30" s="241"/>
      <c r="N30" s="241"/>
      <c r="O30" s="241"/>
      <c r="P30" s="241"/>
      <c r="Q30" s="241"/>
      <c r="R30" s="241"/>
      <c r="S30" s="241"/>
      <c r="T30" s="241"/>
      <c r="U30" s="241"/>
      <c r="V30" s="241"/>
      <c r="W30" s="241"/>
      <c r="X30" s="241"/>
      <c r="Y30" s="241"/>
      <c r="Z30" s="241"/>
      <c r="AA30" s="241"/>
      <c r="AB30" s="241"/>
      <c r="AC30" s="241"/>
    </row>
    <row r="31" spans="1:29" ht="11.45" customHeight="1">
      <c r="A31" s="240"/>
      <c r="B31" s="240"/>
      <c r="C31" s="240"/>
      <c r="D31" s="240"/>
      <c r="E31" s="240"/>
      <c r="F31" s="240"/>
      <c r="G31" s="240"/>
      <c r="H31" s="240"/>
      <c r="I31" s="240"/>
      <c r="J31" s="240"/>
      <c r="M31" s="241"/>
      <c r="N31" s="241"/>
      <c r="O31" s="241"/>
      <c r="P31" s="241"/>
      <c r="Q31" s="241"/>
      <c r="R31" s="241"/>
      <c r="S31" s="241"/>
      <c r="T31" s="241"/>
      <c r="U31" s="241"/>
      <c r="V31" s="241"/>
      <c r="W31" s="241"/>
      <c r="X31" s="241"/>
      <c r="Y31" s="241"/>
      <c r="Z31" s="241"/>
      <c r="AA31" s="241"/>
      <c r="AB31" s="241"/>
      <c r="AC31" s="241"/>
    </row>
    <row r="32" spans="1:29" ht="15">
      <c r="E32" s="240"/>
      <c r="F32" s="240"/>
      <c r="G32" s="240"/>
      <c r="H32" s="240"/>
      <c r="I32" s="240"/>
      <c r="J32" s="240"/>
    </row>
    <row r="33" spans="5:10" ht="15">
      <c r="E33" s="240"/>
      <c r="F33" s="240"/>
      <c r="G33" s="240"/>
      <c r="H33" s="240"/>
      <c r="I33" s="240"/>
      <c r="J33" s="240"/>
    </row>
    <row r="34" spans="5:10" ht="15">
      <c r="E34" s="240"/>
      <c r="F34" s="240"/>
      <c r="G34" s="240"/>
      <c r="H34" s="240"/>
      <c r="I34" s="240"/>
      <c r="J34" s="240"/>
    </row>
    <row r="35" spans="5:10" ht="15">
      <c r="E35" s="240"/>
      <c r="F35" s="240"/>
      <c r="G35" s="240"/>
      <c r="H35" s="240"/>
      <c r="I35" s="240"/>
      <c r="J35" s="240"/>
    </row>
    <row r="36" spans="5:10" ht="15">
      <c r="E36" s="240"/>
      <c r="F36" s="240"/>
      <c r="G36" s="240"/>
      <c r="H36" s="240"/>
      <c r="I36" s="240"/>
      <c r="J36" s="240"/>
    </row>
    <row r="37" spans="5:10" ht="15">
      <c r="E37" s="240"/>
      <c r="F37" s="240"/>
      <c r="G37" s="240"/>
      <c r="H37" s="240"/>
      <c r="I37" s="240"/>
      <c r="J37" s="240"/>
    </row>
    <row r="38" spans="5:10" ht="15"/>
    <row r="39" spans="5:10" ht="15"/>
    <row r="41" spans="5:10" ht="15"/>
    <row r="42" spans="5:10" ht="15"/>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901D-DB47-4EAE-A774-E9213BEB2693}">
  <dimension ref="A1:AH251"/>
  <sheetViews>
    <sheetView workbookViewId="0">
      <selection activeCell="B88" sqref="B88:K88"/>
    </sheetView>
  </sheetViews>
  <sheetFormatPr defaultRowHeight="12.75"/>
  <cols>
    <col min="1" max="1" width="9" style="158" bestFit="1" customWidth="1"/>
    <col min="2" max="3" width="23.28515625" style="158" bestFit="1" customWidth="1"/>
    <col min="4" max="19" width="9.140625" style="158"/>
    <col min="20" max="20" width="26.28515625" style="158" bestFit="1" customWidth="1"/>
    <col min="21" max="22" width="15.7109375" style="158" bestFit="1" customWidth="1"/>
    <col min="23" max="23" width="13" style="158" customWidth="1"/>
    <col min="24" max="24" width="6.5703125" style="158" customWidth="1"/>
    <col min="25" max="256" width="9.140625" style="158"/>
    <col min="257" max="257" width="9" style="158" bestFit="1" customWidth="1"/>
    <col min="258" max="259" width="23.28515625" style="158" bestFit="1" customWidth="1"/>
    <col min="260" max="512" width="9.140625" style="158"/>
    <col min="513" max="513" width="9" style="158" bestFit="1" customWidth="1"/>
    <col min="514" max="515" width="23.28515625" style="158" bestFit="1" customWidth="1"/>
    <col min="516" max="768" width="9.140625" style="158"/>
    <col min="769" max="769" width="9" style="158" bestFit="1" customWidth="1"/>
    <col min="770" max="771" width="23.28515625" style="158" bestFit="1" customWidth="1"/>
    <col min="772" max="1024" width="9.140625" style="158"/>
    <col min="1025" max="1025" width="9" style="158" bestFit="1" customWidth="1"/>
    <col min="1026" max="1027" width="23.28515625" style="158" bestFit="1" customWidth="1"/>
    <col min="1028" max="1280" width="9.140625" style="158"/>
    <col min="1281" max="1281" width="9" style="158" bestFit="1" customWidth="1"/>
    <col min="1282" max="1283" width="23.28515625" style="158" bestFit="1" customWidth="1"/>
    <col min="1284" max="1536" width="9.140625" style="158"/>
    <col min="1537" max="1537" width="9" style="158" bestFit="1" customWidth="1"/>
    <col min="1538" max="1539" width="23.28515625" style="158" bestFit="1" customWidth="1"/>
    <col min="1540" max="1792" width="9.140625" style="158"/>
    <col min="1793" max="1793" width="9" style="158" bestFit="1" customWidth="1"/>
    <col min="1794" max="1795" width="23.28515625" style="158" bestFit="1" customWidth="1"/>
    <col min="1796" max="2048" width="9.140625" style="158"/>
    <col min="2049" max="2049" width="9" style="158" bestFit="1" customWidth="1"/>
    <col min="2050" max="2051" width="23.28515625" style="158" bestFit="1" customWidth="1"/>
    <col min="2052" max="2304" width="9.140625" style="158"/>
    <col min="2305" max="2305" width="9" style="158" bestFit="1" customWidth="1"/>
    <col min="2306" max="2307" width="23.28515625" style="158" bestFit="1" customWidth="1"/>
    <col min="2308" max="2560" width="9.140625" style="158"/>
    <col min="2561" max="2561" width="9" style="158" bestFit="1" customWidth="1"/>
    <col min="2562" max="2563" width="23.28515625" style="158" bestFit="1" customWidth="1"/>
    <col min="2564" max="2816" width="9.140625" style="158"/>
    <col min="2817" max="2817" width="9" style="158" bestFit="1" customWidth="1"/>
    <col min="2818" max="2819" width="23.28515625" style="158" bestFit="1" customWidth="1"/>
    <col min="2820" max="3072" width="9.140625" style="158"/>
    <col min="3073" max="3073" width="9" style="158" bestFit="1" customWidth="1"/>
    <col min="3074" max="3075" width="23.28515625" style="158" bestFit="1" customWidth="1"/>
    <col min="3076" max="3328" width="9.140625" style="158"/>
    <col min="3329" max="3329" width="9" style="158" bestFit="1" customWidth="1"/>
    <col min="3330" max="3331" width="23.28515625" style="158" bestFit="1" customWidth="1"/>
    <col min="3332" max="3584" width="9.140625" style="158"/>
    <col min="3585" max="3585" width="9" style="158" bestFit="1" customWidth="1"/>
    <col min="3586" max="3587" width="23.28515625" style="158" bestFit="1" customWidth="1"/>
    <col min="3588" max="3840" width="9.140625" style="158"/>
    <col min="3841" max="3841" width="9" style="158" bestFit="1" customWidth="1"/>
    <col min="3842" max="3843" width="23.28515625" style="158" bestFit="1" customWidth="1"/>
    <col min="3844" max="4096" width="9.140625" style="158"/>
    <col min="4097" max="4097" width="9" style="158" bestFit="1" customWidth="1"/>
    <col min="4098" max="4099" width="23.28515625" style="158" bestFit="1" customWidth="1"/>
    <col min="4100" max="4352" width="9.140625" style="158"/>
    <col min="4353" max="4353" width="9" style="158" bestFit="1" customWidth="1"/>
    <col min="4354" max="4355" width="23.28515625" style="158" bestFit="1" customWidth="1"/>
    <col min="4356" max="4608" width="9.140625" style="158"/>
    <col min="4609" max="4609" width="9" style="158" bestFit="1" customWidth="1"/>
    <col min="4610" max="4611" width="23.28515625" style="158" bestFit="1" customWidth="1"/>
    <col min="4612" max="4864" width="9.140625" style="158"/>
    <col min="4865" max="4865" width="9" style="158" bestFit="1" customWidth="1"/>
    <col min="4866" max="4867" width="23.28515625" style="158" bestFit="1" customWidth="1"/>
    <col min="4868" max="5120" width="9.140625" style="158"/>
    <col min="5121" max="5121" width="9" style="158" bestFit="1" customWidth="1"/>
    <col min="5122" max="5123" width="23.28515625" style="158" bestFit="1" customWidth="1"/>
    <col min="5124" max="5376" width="9.140625" style="158"/>
    <col min="5377" max="5377" width="9" style="158" bestFit="1" customWidth="1"/>
    <col min="5378" max="5379" width="23.28515625" style="158" bestFit="1" customWidth="1"/>
    <col min="5380" max="5632" width="9.140625" style="158"/>
    <col min="5633" max="5633" width="9" style="158" bestFit="1" customWidth="1"/>
    <col min="5634" max="5635" width="23.28515625" style="158" bestFit="1" customWidth="1"/>
    <col min="5636" max="5888" width="9.140625" style="158"/>
    <col min="5889" max="5889" width="9" style="158" bestFit="1" customWidth="1"/>
    <col min="5890" max="5891" width="23.28515625" style="158" bestFit="1" customWidth="1"/>
    <col min="5892" max="6144" width="9.140625" style="158"/>
    <col min="6145" max="6145" width="9" style="158" bestFit="1" customWidth="1"/>
    <col min="6146" max="6147" width="23.28515625" style="158" bestFit="1" customWidth="1"/>
    <col min="6148" max="6400" width="9.140625" style="158"/>
    <col min="6401" max="6401" width="9" style="158" bestFit="1" customWidth="1"/>
    <col min="6402" max="6403" width="23.28515625" style="158" bestFit="1" customWidth="1"/>
    <col min="6404" max="6656" width="9.140625" style="158"/>
    <col min="6657" max="6657" width="9" style="158" bestFit="1" customWidth="1"/>
    <col min="6658" max="6659" width="23.28515625" style="158" bestFit="1" customWidth="1"/>
    <col min="6660" max="6912" width="9.140625" style="158"/>
    <col min="6913" max="6913" width="9" style="158" bestFit="1" customWidth="1"/>
    <col min="6914" max="6915" width="23.28515625" style="158" bestFit="1" customWidth="1"/>
    <col min="6916" max="7168" width="9.140625" style="158"/>
    <col min="7169" max="7169" width="9" style="158" bestFit="1" customWidth="1"/>
    <col min="7170" max="7171" width="23.28515625" style="158" bestFit="1" customWidth="1"/>
    <col min="7172" max="7424" width="9.140625" style="158"/>
    <col min="7425" max="7425" width="9" style="158" bestFit="1" customWidth="1"/>
    <col min="7426" max="7427" width="23.28515625" style="158" bestFit="1" customWidth="1"/>
    <col min="7428" max="7680" width="9.140625" style="158"/>
    <col min="7681" max="7681" width="9" style="158" bestFit="1" customWidth="1"/>
    <col min="7682" max="7683" width="23.28515625" style="158" bestFit="1" customWidth="1"/>
    <col min="7684" max="7936" width="9.140625" style="158"/>
    <col min="7937" max="7937" width="9" style="158" bestFit="1" customWidth="1"/>
    <col min="7938" max="7939" width="23.28515625" style="158" bestFit="1" customWidth="1"/>
    <col min="7940" max="8192" width="9.140625" style="158"/>
    <col min="8193" max="8193" width="9" style="158" bestFit="1" customWidth="1"/>
    <col min="8194" max="8195" width="23.28515625" style="158" bestFit="1" customWidth="1"/>
    <col min="8196" max="8448" width="9.140625" style="158"/>
    <col min="8449" max="8449" width="9" style="158" bestFit="1" customWidth="1"/>
    <col min="8450" max="8451" width="23.28515625" style="158" bestFit="1" customWidth="1"/>
    <col min="8452" max="8704" width="9.140625" style="158"/>
    <col min="8705" max="8705" width="9" style="158" bestFit="1" customWidth="1"/>
    <col min="8706" max="8707" width="23.28515625" style="158" bestFit="1" customWidth="1"/>
    <col min="8708" max="8960" width="9.140625" style="158"/>
    <col min="8961" max="8961" width="9" style="158" bestFit="1" customWidth="1"/>
    <col min="8962" max="8963" width="23.28515625" style="158" bestFit="1" customWidth="1"/>
    <col min="8964" max="9216" width="9.140625" style="158"/>
    <col min="9217" max="9217" width="9" style="158" bestFit="1" customWidth="1"/>
    <col min="9218" max="9219" width="23.28515625" style="158" bestFit="1" customWidth="1"/>
    <col min="9220" max="9472" width="9.140625" style="158"/>
    <col min="9473" max="9473" width="9" style="158" bestFit="1" customWidth="1"/>
    <col min="9474" max="9475" width="23.28515625" style="158" bestFit="1" customWidth="1"/>
    <col min="9476" max="9728" width="9.140625" style="158"/>
    <col min="9729" max="9729" width="9" style="158" bestFit="1" customWidth="1"/>
    <col min="9730" max="9731" width="23.28515625" style="158" bestFit="1" customWidth="1"/>
    <col min="9732" max="9984" width="9.140625" style="158"/>
    <col min="9985" max="9985" width="9" style="158" bestFit="1" customWidth="1"/>
    <col min="9986" max="9987" width="23.28515625" style="158" bestFit="1" customWidth="1"/>
    <col min="9988" max="10240" width="9.140625" style="158"/>
    <col min="10241" max="10241" width="9" style="158" bestFit="1" customWidth="1"/>
    <col min="10242" max="10243" width="23.28515625" style="158" bestFit="1" customWidth="1"/>
    <col min="10244" max="10496" width="9.140625" style="158"/>
    <col min="10497" max="10497" width="9" style="158" bestFit="1" customWidth="1"/>
    <col min="10498" max="10499" width="23.28515625" style="158" bestFit="1" customWidth="1"/>
    <col min="10500" max="10752" width="9.140625" style="158"/>
    <col min="10753" max="10753" width="9" style="158" bestFit="1" customWidth="1"/>
    <col min="10754" max="10755" width="23.28515625" style="158" bestFit="1" customWidth="1"/>
    <col min="10756" max="11008" width="9.140625" style="158"/>
    <col min="11009" max="11009" width="9" style="158" bestFit="1" customWidth="1"/>
    <col min="11010" max="11011" width="23.28515625" style="158" bestFit="1" customWidth="1"/>
    <col min="11012" max="11264" width="9.140625" style="158"/>
    <col min="11265" max="11265" width="9" style="158" bestFit="1" customWidth="1"/>
    <col min="11266" max="11267" width="23.28515625" style="158" bestFit="1" customWidth="1"/>
    <col min="11268" max="11520" width="9.140625" style="158"/>
    <col min="11521" max="11521" width="9" style="158" bestFit="1" customWidth="1"/>
    <col min="11522" max="11523" width="23.28515625" style="158" bestFit="1" customWidth="1"/>
    <col min="11524" max="11776" width="9.140625" style="158"/>
    <col min="11777" max="11777" width="9" style="158" bestFit="1" customWidth="1"/>
    <col min="11778" max="11779" width="23.28515625" style="158" bestFit="1" customWidth="1"/>
    <col min="11780" max="12032" width="9.140625" style="158"/>
    <col min="12033" max="12033" width="9" style="158" bestFit="1" customWidth="1"/>
    <col min="12034" max="12035" width="23.28515625" style="158" bestFit="1" customWidth="1"/>
    <col min="12036" max="12288" width="9.140625" style="158"/>
    <col min="12289" max="12289" width="9" style="158" bestFit="1" customWidth="1"/>
    <col min="12290" max="12291" width="23.28515625" style="158" bestFit="1" customWidth="1"/>
    <col min="12292" max="12544" width="9.140625" style="158"/>
    <col min="12545" max="12545" width="9" style="158" bestFit="1" customWidth="1"/>
    <col min="12546" max="12547" width="23.28515625" style="158" bestFit="1" customWidth="1"/>
    <col min="12548" max="12800" width="9.140625" style="158"/>
    <col min="12801" max="12801" width="9" style="158" bestFit="1" customWidth="1"/>
    <col min="12802" max="12803" width="23.28515625" style="158" bestFit="1" customWidth="1"/>
    <col min="12804" max="13056" width="9.140625" style="158"/>
    <col min="13057" max="13057" width="9" style="158" bestFit="1" customWidth="1"/>
    <col min="13058" max="13059" width="23.28515625" style="158" bestFit="1" customWidth="1"/>
    <col min="13060" max="13312" width="9.140625" style="158"/>
    <col min="13313" max="13313" width="9" style="158" bestFit="1" customWidth="1"/>
    <col min="13314" max="13315" width="23.28515625" style="158" bestFit="1" customWidth="1"/>
    <col min="13316" max="13568" width="9.140625" style="158"/>
    <col min="13569" max="13569" width="9" style="158" bestFit="1" customWidth="1"/>
    <col min="13570" max="13571" width="23.28515625" style="158" bestFit="1" customWidth="1"/>
    <col min="13572" max="13824" width="9.140625" style="158"/>
    <col min="13825" max="13825" width="9" style="158" bestFit="1" customWidth="1"/>
    <col min="13826" max="13827" width="23.28515625" style="158" bestFit="1" customWidth="1"/>
    <col min="13828" max="14080" width="9.140625" style="158"/>
    <col min="14081" max="14081" width="9" style="158" bestFit="1" customWidth="1"/>
    <col min="14082" max="14083" width="23.28515625" style="158" bestFit="1" customWidth="1"/>
    <col min="14084" max="14336" width="9.140625" style="158"/>
    <col min="14337" max="14337" width="9" style="158" bestFit="1" customWidth="1"/>
    <col min="14338" max="14339" width="23.28515625" style="158" bestFit="1" customWidth="1"/>
    <col min="14340" max="14592" width="9.140625" style="158"/>
    <col min="14593" max="14593" width="9" style="158" bestFit="1" customWidth="1"/>
    <col min="14594" max="14595" width="23.28515625" style="158" bestFit="1" customWidth="1"/>
    <col min="14596" max="14848" width="9.140625" style="158"/>
    <col min="14849" max="14849" width="9" style="158" bestFit="1" customWidth="1"/>
    <col min="14850" max="14851" width="23.28515625" style="158" bestFit="1" customWidth="1"/>
    <col min="14852" max="15104" width="9.140625" style="158"/>
    <col min="15105" max="15105" width="9" style="158" bestFit="1" customWidth="1"/>
    <col min="15106" max="15107" width="23.28515625" style="158" bestFit="1" customWidth="1"/>
    <col min="15108" max="15360" width="9.140625" style="158"/>
    <col min="15361" max="15361" width="9" style="158" bestFit="1" customWidth="1"/>
    <col min="15362" max="15363" width="23.28515625" style="158" bestFit="1" customWidth="1"/>
    <col min="15364" max="15616" width="9.140625" style="158"/>
    <col min="15617" max="15617" width="9" style="158" bestFit="1" customWidth="1"/>
    <col min="15618" max="15619" width="23.28515625" style="158" bestFit="1" customWidth="1"/>
    <col min="15620" max="15872" width="9.140625" style="158"/>
    <col min="15873" max="15873" width="9" style="158" bestFit="1" customWidth="1"/>
    <col min="15874" max="15875" width="23.28515625" style="158" bestFit="1" customWidth="1"/>
    <col min="15876" max="16128" width="9.140625" style="158"/>
    <col min="16129" max="16129" width="9" style="158" bestFit="1" customWidth="1"/>
    <col min="16130" max="16131" width="23.28515625" style="158" bestFit="1" customWidth="1"/>
    <col min="16132" max="16384" width="9.140625" style="158"/>
  </cols>
  <sheetData>
    <row r="1" spans="1:34">
      <c r="A1" s="158" t="s">
        <v>452</v>
      </c>
      <c r="B1" s="247" t="s">
        <v>453</v>
      </c>
      <c r="C1" s="247" t="s">
        <v>454</v>
      </c>
      <c r="E1" s="166"/>
      <c r="F1" s="166"/>
      <c r="G1" s="166"/>
      <c r="S1" s="158" t="s">
        <v>455</v>
      </c>
      <c r="T1" s="158" t="s">
        <v>456</v>
      </c>
      <c r="U1" s="158" t="s">
        <v>457</v>
      </c>
      <c r="V1" s="158" t="s">
        <v>458</v>
      </c>
    </row>
    <row r="2" spans="1:34">
      <c r="A2" s="248">
        <v>-2</v>
      </c>
      <c r="B2" s="249">
        <v>2.8340011875682664E-2</v>
      </c>
      <c r="C2" s="248">
        <v>0</v>
      </c>
      <c r="E2" s="166"/>
      <c r="F2" s="166"/>
      <c r="G2" s="166"/>
      <c r="S2" s="158" t="s">
        <v>459</v>
      </c>
      <c r="T2" s="158" t="s">
        <v>460</v>
      </c>
      <c r="U2" s="206">
        <v>0.27420011162757874</v>
      </c>
      <c r="V2" s="206">
        <v>6.9952495396137238E-2</v>
      </c>
    </row>
    <row r="3" spans="1:34">
      <c r="A3" s="248">
        <v>-1.9837349653244019</v>
      </c>
      <c r="B3" s="249">
        <v>2.9621842962230149E-2</v>
      </c>
      <c r="C3" s="248">
        <v>0</v>
      </c>
      <c r="E3" s="166"/>
      <c r="F3" s="166"/>
      <c r="G3" s="166"/>
      <c r="S3" s="158" t="s">
        <v>461</v>
      </c>
      <c r="T3" s="158" t="s">
        <v>462</v>
      </c>
      <c r="U3" s="206">
        <v>0.11325789242982864</v>
      </c>
      <c r="V3" s="206">
        <v>-3.5074170678853989E-2</v>
      </c>
      <c r="W3" s="166"/>
      <c r="X3" s="166"/>
      <c r="Y3" s="166"/>
      <c r="Z3" s="166"/>
      <c r="AA3" s="166"/>
      <c r="AB3" s="166"/>
      <c r="AC3" s="166"/>
      <c r="AD3" s="166"/>
      <c r="AE3" s="166"/>
      <c r="AF3" s="166"/>
      <c r="AG3" s="166"/>
      <c r="AH3" s="166"/>
    </row>
    <row r="4" spans="1:34">
      <c r="A4" s="248">
        <v>-1.9674699306488037</v>
      </c>
      <c r="B4" s="249">
        <v>3.049794372721111E-2</v>
      </c>
      <c r="C4" s="248">
        <v>0</v>
      </c>
      <c r="E4" s="166"/>
      <c r="F4" s="166"/>
      <c r="G4" s="166"/>
      <c r="S4" s="158" t="s">
        <v>463</v>
      </c>
      <c r="T4" s="158" t="s">
        <v>464</v>
      </c>
      <c r="U4" s="206">
        <v>0.10390335321426392</v>
      </c>
      <c r="V4" s="206">
        <v>-3.3031638711690903E-2</v>
      </c>
      <c r="W4" s="166"/>
      <c r="X4" s="166"/>
      <c r="Y4" s="166"/>
      <c r="Z4" s="166"/>
      <c r="AA4" s="166"/>
      <c r="AB4" s="166"/>
      <c r="AC4" s="166"/>
      <c r="AD4" s="166"/>
      <c r="AE4" s="166"/>
      <c r="AF4" s="166"/>
      <c r="AG4" s="166"/>
      <c r="AH4" s="166"/>
    </row>
    <row r="5" spans="1:34" ht="15.75">
      <c r="A5" s="248">
        <v>-1.951204776763916</v>
      </c>
      <c r="B5" s="249">
        <v>3.0968316131207752E-2</v>
      </c>
      <c r="C5" s="248">
        <v>0</v>
      </c>
      <c r="E5" s="166"/>
      <c r="F5" s="250" t="s">
        <v>28</v>
      </c>
      <c r="G5" s="166"/>
      <c r="H5" s="166"/>
      <c r="I5" s="166"/>
      <c r="J5" s="166"/>
      <c r="K5" s="166"/>
      <c r="L5" s="166"/>
      <c r="M5" s="166"/>
      <c r="N5" s="166"/>
      <c r="O5" s="166"/>
      <c r="P5" s="166"/>
      <c r="Q5" s="166"/>
      <c r="R5" s="166"/>
      <c r="S5" s="158" t="s">
        <v>465</v>
      </c>
      <c r="T5" s="158" t="s">
        <v>466</v>
      </c>
      <c r="U5" s="206">
        <v>4.571981355547905E-2</v>
      </c>
      <c r="V5" s="206">
        <v>4.0189321152865887E-3</v>
      </c>
      <c r="W5" s="166"/>
      <c r="X5" s="250" t="s">
        <v>28</v>
      </c>
      <c r="Y5" s="166"/>
      <c r="Z5" s="166"/>
      <c r="AA5" s="166"/>
      <c r="AB5" s="166"/>
      <c r="AC5" s="166"/>
      <c r="AD5" s="166"/>
      <c r="AE5" s="166"/>
      <c r="AF5" s="166"/>
      <c r="AG5" s="166"/>
      <c r="AH5" s="166"/>
    </row>
    <row r="6" spans="1:34" ht="15">
      <c r="A6" s="248">
        <v>-1.9349397420883179</v>
      </c>
      <c r="B6" s="251">
        <v>3.1032953279387047E-2</v>
      </c>
      <c r="C6" s="248">
        <v>0</v>
      </c>
      <c r="F6" s="169" t="s">
        <v>467</v>
      </c>
      <c r="G6" s="166"/>
      <c r="H6" s="166"/>
      <c r="I6" s="166"/>
      <c r="J6" s="166"/>
      <c r="K6" s="166"/>
      <c r="L6" s="166"/>
      <c r="M6" s="166"/>
      <c r="N6" s="166"/>
      <c r="O6" s="166"/>
      <c r="P6" s="166"/>
      <c r="Q6" s="166"/>
      <c r="R6" s="166"/>
      <c r="S6" s="158" t="s">
        <v>468</v>
      </c>
      <c r="T6" s="158" t="s">
        <v>469</v>
      </c>
      <c r="U6" s="206">
        <v>3.3425081521272659E-2</v>
      </c>
      <c r="V6" s="206">
        <v>2.803671732544899E-2</v>
      </c>
      <c r="W6" s="166"/>
      <c r="X6" s="169" t="s">
        <v>470</v>
      </c>
      <c r="Y6" s="166"/>
      <c r="Z6" s="166"/>
      <c r="AA6" s="166"/>
      <c r="AB6" s="166"/>
      <c r="AC6" s="166"/>
      <c r="AD6" s="166"/>
      <c r="AE6" s="166"/>
      <c r="AF6" s="166"/>
      <c r="AG6" s="166"/>
      <c r="AH6" s="166"/>
    </row>
    <row r="7" spans="1:34">
      <c r="A7" s="248">
        <v>-1.9186747074127197</v>
      </c>
      <c r="B7" s="248">
        <v>3.0691860105999814E-2</v>
      </c>
      <c r="C7" s="248">
        <v>0</v>
      </c>
      <c r="E7" s="166"/>
      <c r="F7" s="166"/>
      <c r="G7" s="166"/>
      <c r="H7" s="166"/>
      <c r="I7" s="166"/>
      <c r="J7" s="166"/>
      <c r="K7" s="166"/>
      <c r="L7" s="166"/>
      <c r="M7" s="166"/>
      <c r="N7" s="166"/>
      <c r="O7" s="166"/>
      <c r="P7" s="166"/>
      <c r="Q7" s="166"/>
      <c r="R7" s="166"/>
      <c r="S7" s="158" t="s">
        <v>471</v>
      </c>
      <c r="T7" s="158" t="s">
        <v>472</v>
      </c>
      <c r="U7" s="206">
        <v>2.3169185966253281E-2</v>
      </c>
      <c r="V7" s="206">
        <v>9.4487980008125305E-2</v>
      </c>
      <c r="W7" s="166"/>
      <c r="X7" s="166"/>
      <c r="Y7" s="166"/>
      <c r="Z7" s="166"/>
      <c r="AA7" s="166"/>
      <c r="AB7" s="166"/>
      <c r="AC7" s="166"/>
      <c r="AD7" s="166"/>
      <c r="AE7" s="166"/>
      <c r="AF7" s="166"/>
      <c r="AG7" s="166"/>
      <c r="AH7" s="166"/>
    </row>
    <row r="8" spans="1:34">
      <c r="A8" s="248">
        <v>-1.9024096727371216</v>
      </c>
      <c r="B8" s="248">
        <v>2.9945036611046062E-2</v>
      </c>
      <c r="C8" s="248">
        <v>0</v>
      </c>
      <c r="E8" s="166"/>
      <c r="F8" s="166"/>
      <c r="G8" s="166"/>
      <c r="H8" s="166"/>
      <c r="I8" s="166"/>
      <c r="J8" s="166"/>
      <c r="K8" s="166"/>
      <c r="L8" s="166"/>
      <c r="M8" s="166"/>
      <c r="N8" s="166"/>
      <c r="O8" s="166"/>
      <c r="P8" s="166"/>
      <c r="Q8" s="166"/>
      <c r="R8" s="166"/>
      <c r="W8" s="166"/>
      <c r="X8" s="166"/>
      <c r="Y8" s="166"/>
      <c r="Z8" s="166"/>
      <c r="AA8" s="166"/>
      <c r="AB8" s="166"/>
      <c r="AC8" s="166"/>
      <c r="AD8" s="166"/>
      <c r="AE8" s="166"/>
      <c r="AF8" s="166"/>
      <c r="AG8" s="166"/>
      <c r="AH8" s="166"/>
    </row>
    <row r="9" spans="1:34">
      <c r="A9" s="248">
        <v>-1.8861445188522339</v>
      </c>
      <c r="B9" s="248">
        <v>2.8792472860411672E-2</v>
      </c>
      <c r="C9" s="248">
        <v>0</v>
      </c>
      <c r="E9" s="166"/>
      <c r="F9" s="166"/>
      <c r="G9" s="166"/>
      <c r="H9" s="166"/>
      <c r="I9" s="166"/>
      <c r="J9" s="166"/>
      <c r="K9" s="166"/>
      <c r="L9" s="166"/>
      <c r="M9" s="166"/>
      <c r="N9" s="166"/>
      <c r="O9" s="166"/>
      <c r="P9" s="166"/>
      <c r="Q9" s="166"/>
      <c r="R9" s="166"/>
      <c r="W9" s="166"/>
      <c r="X9" s="166"/>
      <c r="Y9" s="166"/>
      <c r="Z9" s="166"/>
      <c r="AA9" s="166"/>
      <c r="AB9" s="166"/>
      <c r="AC9" s="166"/>
      <c r="AD9" s="166"/>
      <c r="AE9" s="166"/>
      <c r="AF9" s="166"/>
      <c r="AG9" s="166"/>
      <c r="AH9" s="166"/>
    </row>
    <row r="10" spans="1:34">
      <c r="A10" s="248">
        <v>-1.8698794841766357</v>
      </c>
      <c r="B10" s="248">
        <v>2.7234185748656253E-2</v>
      </c>
      <c r="C10" s="248">
        <v>0</v>
      </c>
      <c r="E10" s="166"/>
      <c r="F10" s="166"/>
      <c r="G10" s="166"/>
      <c r="H10" s="166"/>
      <c r="I10" s="166"/>
      <c r="J10" s="166"/>
      <c r="K10" s="166"/>
      <c r="L10" s="166"/>
      <c r="M10" s="166"/>
      <c r="N10" s="166"/>
      <c r="O10" s="166"/>
      <c r="P10" s="166"/>
      <c r="Q10" s="166"/>
      <c r="R10" s="166"/>
      <c r="W10" s="166"/>
      <c r="X10" s="166"/>
      <c r="Y10" s="166"/>
      <c r="Z10" s="166"/>
      <c r="AA10" s="166"/>
      <c r="AB10" s="166"/>
      <c r="AC10" s="166"/>
      <c r="AD10" s="166"/>
      <c r="AE10" s="166"/>
      <c r="AF10" s="166"/>
      <c r="AG10" s="166"/>
      <c r="AH10" s="166"/>
    </row>
    <row r="11" spans="1:34">
      <c r="A11" s="248">
        <v>-1.8536144495010376</v>
      </c>
      <c r="B11" s="248">
        <v>2.5270168315334306E-2</v>
      </c>
      <c r="C11" s="248">
        <v>0</v>
      </c>
      <c r="E11" s="166"/>
      <c r="F11" s="166"/>
      <c r="G11" s="166"/>
      <c r="H11" s="166"/>
      <c r="I11" s="166"/>
      <c r="J11" s="166"/>
      <c r="K11" s="166"/>
      <c r="L11" s="166"/>
      <c r="M11" s="166"/>
      <c r="N11" s="166"/>
      <c r="O11" s="166"/>
      <c r="P11" s="166"/>
      <c r="Q11" s="166"/>
      <c r="R11" s="166"/>
      <c r="W11" s="166"/>
      <c r="X11" s="166"/>
      <c r="Y11" s="166"/>
      <c r="Z11" s="166"/>
      <c r="AA11" s="166"/>
      <c r="AB11" s="166"/>
      <c r="AC11" s="166"/>
      <c r="AD11" s="166"/>
      <c r="AE11" s="166"/>
      <c r="AF11" s="166"/>
      <c r="AG11" s="166"/>
      <c r="AH11" s="166"/>
    </row>
    <row r="12" spans="1:34">
      <c r="A12" s="248">
        <v>-1.8373494148254395</v>
      </c>
      <c r="B12" s="248">
        <v>2.290042056044584E-2</v>
      </c>
      <c r="C12" s="248">
        <v>0</v>
      </c>
      <c r="E12" s="166"/>
      <c r="F12" s="166"/>
      <c r="G12" s="166"/>
      <c r="H12" s="166"/>
      <c r="I12" s="166"/>
      <c r="J12" s="166"/>
      <c r="K12" s="166"/>
      <c r="L12" s="166"/>
      <c r="M12" s="166"/>
      <c r="N12" s="166"/>
      <c r="O12" s="166"/>
      <c r="P12" s="166"/>
      <c r="Q12" s="166"/>
      <c r="R12" s="166"/>
      <c r="W12" s="166"/>
      <c r="X12" s="166"/>
      <c r="Y12" s="166"/>
      <c r="Z12" s="166"/>
      <c r="AA12" s="166"/>
      <c r="AB12" s="166"/>
      <c r="AC12" s="166"/>
      <c r="AD12" s="166"/>
      <c r="AE12" s="166"/>
      <c r="AF12" s="166"/>
      <c r="AG12" s="166"/>
      <c r="AH12" s="166"/>
    </row>
    <row r="13" spans="1:34">
      <c r="A13" s="248">
        <v>-1.8210843801498413</v>
      </c>
      <c r="B13" s="248">
        <v>2.0124942483990858E-2</v>
      </c>
      <c r="C13" s="248">
        <v>0</v>
      </c>
      <c r="E13" s="166"/>
      <c r="F13" s="166"/>
      <c r="G13" s="166"/>
      <c r="H13" s="166"/>
      <c r="I13" s="166"/>
      <c r="J13" s="166"/>
      <c r="K13" s="166"/>
      <c r="L13" s="166"/>
      <c r="M13" s="166"/>
      <c r="N13" s="166"/>
      <c r="O13" s="166"/>
      <c r="P13" s="166"/>
      <c r="Q13" s="166"/>
      <c r="R13" s="166"/>
      <c r="W13" s="166"/>
      <c r="X13" s="166"/>
      <c r="Y13" s="166"/>
      <c r="Z13" s="166"/>
      <c r="AA13" s="166"/>
      <c r="AB13" s="166"/>
      <c r="AC13" s="166"/>
      <c r="AD13" s="166"/>
      <c r="AE13" s="166"/>
      <c r="AF13" s="166"/>
      <c r="AG13" s="166"/>
      <c r="AH13" s="166"/>
    </row>
    <row r="14" spans="1:34">
      <c r="A14" s="248">
        <v>-1.8048192262649536</v>
      </c>
      <c r="B14" s="248">
        <v>1.6943709283490288E-2</v>
      </c>
      <c r="C14" s="248">
        <v>0</v>
      </c>
      <c r="E14" s="166"/>
      <c r="F14" s="166"/>
      <c r="G14" s="166"/>
      <c r="H14" s="166"/>
      <c r="I14" s="166"/>
      <c r="J14" s="166"/>
      <c r="K14" s="166"/>
      <c r="L14" s="166"/>
      <c r="M14" s="166"/>
      <c r="N14" s="166"/>
      <c r="O14" s="166"/>
      <c r="P14" s="166"/>
      <c r="Q14" s="166"/>
      <c r="R14" s="166"/>
      <c r="W14" s="166"/>
      <c r="X14" s="166"/>
      <c r="Y14" s="166"/>
      <c r="Z14" s="166"/>
      <c r="AA14" s="166"/>
      <c r="AB14" s="166"/>
      <c r="AC14" s="166"/>
      <c r="AD14" s="166"/>
      <c r="AE14" s="166"/>
      <c r="AF14" s="166"/>
      <c r="AG14" s="166"/>
      <c r="AH14" s="166"/>
    </row>
    <row r="15" spans="1:34">
      <c r="A15" s="248">
        <v>-1.7885541915893555</v>
      </c>
      <c r="B15" s="248">
        <v>1.3356767590233628E-2</v>
      </c>
      <c r="C15" s="248">
        <v>0</v>
      </c>
      <c r="E15" s="166"/>
      <c r="F15" s="166"/>
      <c r="G15" s="166"/>
      <c r="H15" s="166"/>
      <c r="I15" s="166"/>
      <c r="J15" s="166"/>
      <c r="K15" s="166"/>
      <c r="L15" s="166"/>
      <c r="M15" s="166"/>
      <c r="N15" s="166"/>
      <c r="O15" s="166"/>
      <c r="P15" s="166"/>
      <c r="Q15" s="166"/>
      <c r="R15" s="166"/>
      <c r="W15" s="166"/>
      <c r="X15" s="166"/>
      <c r="Y15" s="166"/>
      <c r="Z15" s="166"/>
      <c r="AA15" s="166"/>
      <c r="AB15" s="166"/>
      <c r="AC15" s="166"/>
      <c r="AD15" s="166"/>
      <c r="AE15" s="166"/>
      <c r="AF15" s="166"/>
      <c r="AG15" s="166"/>
      <c r="AH15" s="166"/>
    </row>
    <row r="16" spans="1:34">
      <c r="A16" s="248">
        <v>-1.7722891569137573</v>
      </c>
      <c r="B16" s="248">
        <v>9.3640955754104513E-3</v>
      </c>
      <c r="C16" s="248">
        <v>0</v>
      </c>
      <c r="E16" s="166"/>
      <c r="F16" s="166"/>
      <c r="G16" s="166"/>
      <c r="H16" s="166"/>
      <c r="I16" s="166"/>
      <c r="J16" s="166"/>
      <c r="K16" s="166"/>
      <c r="L16" s="166"/>
      <c r="M16" s="166"/>
      <c r="N16" s="166"/>
      <c r="O16" s="166"/>
      <c r="P16" s="166"/>
      <c r="Q16" s="166"/>
      <c r="R16" s="166"/>
      <c r="W16" s="166"/>
      <c r="X16" s="166"/>
      <c r="Y16" s="166"/>
      <c r="Z16" s="166"/>
      <c r="AA16" s="166"/>
      <c r="AB16" s="166"/>
      <c r="AC16" s="166"/>
      <c r="AD16" s="166"/>
      <c r="AE16" s="166"/>
      <c r="AF16" s="166"/>
      <c r="AG16" s="166"/>
      <c r="AH16" s="166"/>
    </row>
    <row r="17" spans="1:34">
      <c r="A17" s="248">
        <v>-1.7560241222381592</v>
      </c>
      <c r="B17" s="248">
        <v>4.9656932390207461E-3</v>
      </c>
      <c r="C17" s="248">
        <v>0</v>
      </c>
      <c r="E17" s="166"/>
      <c r="F17" s="166"/>
      <c r="G17" s="166"/>
      <c r="H17" s="166"/>
      <c r="I17" s="166"/>
      <c r="J17" s="166"/>
      <c r="K17" s="166"/>
      <c r="L17" s="166"/>
      <c r="M17" s="166"/>
      <c r="N17" s="166"/>
      <c r="O17" s="166"/>
      <c r="P17" s="166"/>
      <c r="Q17" s="166"/>
      <c r="R17" s="166"/>
      <c r="W17" s="166"/>
      <c r="X17" s="166"/>
      <c r="Y17" s="166"/>
      <c r="Z17" s="166"/>
      <c r="AA17" s="166"/>
      <c r="AB17" s="166"/>
      <c r="AC17" s="166"/>
      <c r="AD17" s="166"/>
      <c r="AE17" s="166"/>
      <c r="AF17" s="166"/>
      <c r="AG17" s="166"/>
      <c r="AH17" s="166"/>
    </row>
    <row r="18" spans="1:34">
      <c r="A18" s="248">
        <v>-1.739759087562561</v>
      </c>
      <c r="B18" s="248">
        <v>1.6156058106453041E-4</v>
      </c>
      <c r="C18" s="248">
        <v>0</v>
      </c>
      <c r="E18" s="166"/>
      <c r="F18" s="166"/>
      <c r="G18" s="166"/>
      <c r="H18" s="166"/>
      <c r="I18" s="166"/>
      <c r="J18" s="166"/>
      <c r="K18" s="166"/>
      <c r="L18" s="166"/>
      <c r="M18" s="166"/>
      <c r="N18" s="166"/>
      <c r="O18" s="166"/>
      <c r="P18" s="166"/>
      <c r="Q18" s="166"/>
      <c r="R18" s="166"/>
      <c r="W18" s="166"/>
      <c r="X18" s="166"/>
      <c r="Y18" s="166"/>
      <c r="Z18" s="166"/>
      <c r="AA18" s="166"/>
      <c r="AB18" s="166"/>
      <c r="AC18" s="166"/>
      <c r="AD18" s="166"/>
      <c r="AE18" s="166"/>
      <c r="AF18" s="166"/>
      <c r="AG18" s="166"/>
      <c r="AH18" s="166"/>
    </row>
    <row r="19" spans="1:34">
      <c r="A19" s="248">
        <v>-1.7234939336776733</v>
      </c>
      <c r="B19" s="248">
        <v>0</v>
      </c>
      <c r="C19" s="249">
        <v>2.591363820225713E-3</v>
      </c>
      <c r="E19" s="166"/>
      <c r="F19" s="166"/>
      <c r="G19" s="166"/>
      <c r="H19" s="166"/>
      <c r="I19" s="166"/>
      <c r="J19" s="166"/>
      <c r="K19" s="166"/>
      <c r="L19" s="166"/>
      <c r="M19" s="166"/>
      <c r="N19" s="166"/>
      <c r="O19" s="166"/>
      <c r="P19" s="166"/>
      <c r="Q19" s="166"/>
      <c r="R19" s="166"/>
      <c r="W19" s="166"/>
      <c r="X19" s="166"/>
      <c r="Y19" s="166"/>
      <c r="Z19" s="166"/>
      <c r="AA19" s="166"/>
      <c r="AB19" s="166"/>
      <c r="AC19" s="166"/>
      <c r="AD19" s="166"/>
      <c r="AE19" s="166"/>
      <c r="AF19" s="166"/>
      <c r="AG19" s="166"/>
      <c r="AH19" s="166"/>
    </row>
    <row r="20" spans="1:34">
      <c r="A20" s="248">
        <v>-1.7072288990020752</v>
      </c>
      <c r="B20" s="248">
        <v>0</v>
      </c>
      <c r="C20" s="249">
        <v>7.1945716361798435E-3</v>
      </c>
      <c r="E20" s="166"/>
      <c r="F20" s="166"/>
      <c r="G20" s="166"/>
      <c r="H20" s="166"/>
      <c r="I20" s="166"/>
      <c r="J20" s="166"/>
      <c r="K20" s="166"/>
      <c r="L20" s="166"/>
      <c r="M20" s="166"/>
      <c r="N20" s="166"/>
      <c r="O20" s="166"/>
      <c r="P20" s="166"/>
      <c r="Q20" s="166"/>
      <c r="R20" s="166"/>
      <c r="W20" s="166"/>
      <c r="X20" s="166"/>
      <c r="Y20" s="166"/>
      <c r="Z20" s="166"/>
      <c r="AA20" s="166"/>
      <c r="AB20" s="166"/>
      <c r="AC20" s="166"/>
      <c r="AD20" s="166"/>
      <c r="AE20" s="166"/>
      <c r="AF20" s="166"/>
      <c r="AG20" s="166"/>
      <c r="AH20" s="166"/>
    </row>
    <row r="21" spans="1:34">
      <c r="A21" s="248">
        <v>-1.6909638643264771</v>
      </c>
      <c r="B21" s="248">
        <v>0</v>
      </c>
      <c r="C21" s="249">
        <v>1.1392049130567454E-2</v>
      </c>
      <c r="E21" s="166"/>
      <c r="F21" s="166"/>
      <c r="G21" s="166"/>
      <c r="H21" s="166"/>
      <c r="I21" s="166"/>
      <c r="J21" s="166"/>
      <c r="K21" s="166"/>
      <c r="L21" s="166"/>
      <c r="M21" s="166"/>
      <c r="N21" s="166"/>
      <c r="O21" s="166"/>
      <c r="P21" s="166"/>
      <c r="Q21" s="166"/>
      <c r="R21" s="166"/>
      <c r="W21" s="166"/>
      <c r="X21" s="166"/>
      <c r="Y21" s="166"/>
      <c r="Z21" s="166"/>
      <c r="AA21" s="166"/>
      <c r="AB21" s="166"/>
      <c r="AC21" s="166"/>
      <c r="AD21" s="166"/>
      <c r="AE21" s="166"/>
      <c r="AF21" s="166"/>
      <c r="AG21" s="166"/>
      <c r="AH21" s="166"/>
    </row>
    <row r="22" spans="1:34">
      <c r="A22" s="248">
        <v>-1.6746988296508789</v>
      </c>
      <c r="B22" s="248">
        <v>0</v>
      </c>
      <c r="C22" s="249">
        <v>1.5183796303388552E-2</v>
      </c>
      <c r="E22" s="166"/>
      <c r="F22" s="166"/>
      <c r="G22" s="166"/>
      <c r="H22" s="166"/>
      <c r="I22" s="166"/>
      <c r="J22" s="166"/>
      <c r="K22" s="166"/>
      <c r="L22" s="166"/>
      <c r="M22" s="166"/>
      <c r="N22" s="166"/>
      <c r="O22" s="166"/>
      <c r="P22" s="166"/>
      <c r="Q22" s="166"/>
      <c r="R22" s="166"/>
      <c r="W22" s="166"/>
      <c r="X22" s="166"/>
      <c r="Y22" s="166"/>
      <c r="Z22" s="166"/>
      <c r="AA22" s="166"/>
      <c r="AB22" s="166"/>
      <c r="AC22" s="166"/>
      <c r="AD22" s="166"/>
      <c r="AE22" s="166"/>
      <c r="AF22" s="166"/>
      <c r="AG22" s="166"/>
      <c r="AH22" s="166"/>
    </row>
    <row r="23" spans="1:34">
      <c r="A23" s="248">
        <v>-1.6584336757659912</v>
      </c>
      <c r="B23" s="248">
        <v>0</v>
      </c>
      <c r="C23" s="249">
        <v>1.8569836484508804E-2</v>
      </c>
      <c r="E23" s="166"/>
      <c r="F23" s="166"/>
      <c r="G23" s="166"/>
      <c r="H23" s="166"/>
      <c r="I23" s="166"/>
      <c r="J23" s="166"/>
      <c r="K23" s="166"/>
      <c r="L23" s="166"/>
      <c r="M23" s="166"/>
      <c r="N23" s="166"/>
      <c r="O23" s="166"/>
      <c r="P23" s="166"/>
      <c r="Q23" s="166"/>
      <c r="R23" s="166"/>
      <c r="W23" s="166"/>
      <c r="X23" s="166"/>
      <c r="Y23" s="166"/>
      <c r="Z23" s="166"/>
      <c r="AA23" s="166"/>
      <c r="AB23" s="166"/>
      <c r="AC23" s="166"/>
      <c r="AD23" s="166"/>
      <c r="AE23" s="166"/>
      <c r="AF23" s="166"/>
      <c r="AG23" s="166"/>
      <c r="AH23" s="166"/>
    </row>
    <row r="24" spans="1:34">
      <c r="A24" s="248">
        <v>-1.6421686410903931</v>
      </c>
      <c r="B24" s="248">
        <v>0</v>
      </c>
      <c r="C24" s="249">
        <v>2.1550120040528226E-2</v>
      </c>
      <c r="E24" s="166"/>
      <c r="F24" s="166"/>
      <c r="G24" s="166"/>
      <c r="H24" s="166"/>
      <c r="I24" s="166"/>
      <c r="J24" s="166"/>
      <c r="K24" s="166"/>
      <c r="L24" s="166"/>
      <c r="M24" s="166"/>
      <c r="N24" s="166"/>
      <c r="O24" s="166"/>
      <c r="P24" s="166"/>
      <c r="Q24" s="166"/>
      <c r="R24" s="166"/>
      <c r="W24" s="166"/>
      <c r="X24" s="166"/>
      <c r="Y24" s="166"/>
      <c r="Z24" s="166"/>
      <c r="AA24" s="166"/>
      <c r="AB24" s="166"/>
      <c r="AC24" s="166"/>
      <c r="AD24" s="166"/>
      <c r="AE24" s="166"/>
      <c r="AF24" s="166"/>
      <c r="AG24" s="166"/>
      <c r="AH24" s="166"/>
    </row>
    <row r="25" spans="1:34">
      <c r="A25" s="248">
        <v>-1.6259036064147949</v>
      </c>
      <c r="B25" s="248">
        <v>0</v>
      </c>
      <c r="C25" s="249">
        <v>2.4124673274981127E-2</v>
      </c>
      <c r="E25" s="166"/>
      <c r="F25" s="166"/>
      <c r="G25" s="166"/>
      <c r="H25" s="166"/>
      <c r="I25" s="166"/>
      <c r="J25" s="166"/>
      <c r="K25" s="166"/>
      <c r="L25" s="166"/>
      <c r="M25" s="166"/>
      <c r="N25" s="166"/>
      <c r="O25" s="166"/>
      <c r="P25" s="166"/>
      <c r="Q25" s="166"/>
      <c r="R25" s="166"/>
      <c r="W25" s="166"/>
      <c r="X25" s="166"/>
      <c r="Y25" s="166"/>
      <c r="Z25" s="166"/>
      <c r="AA25" s="166"/>
      <c r="AB25" s="166"/>
      <c r="AC25" s="166"/>
      <c r="AD25" s="166"/>
      <c r="AE25" s="166"/>
      <c r="AF25" s="166"/>
      <c r="AG25" s="166"/>
      <c r="AH25" s="166"/>
    </row>
    <row r="26" spans="1:34">
      <c r="A26" s="248">
        <v>-1.6096385717391968</v>
      </c>
      <c r="B26" s="248">
        <v>0</v>
      </c>
      <c r="C26" s="249">
        <v>2.6293496187867506E-2</v>
      </c>
      <c r="E26" s="166"/>
      <c r="F26" s="166"/>
      <c r="G26" s="166"/>
      <c r="H26" s="166"/>
      <c r="I26" s="166"/>
      <c r="J26" s="166"/>
      <c r="K26" s="166"/>
      <c r="L26" s="166"/>
      <c r="M26" s="166"/>
      <c r="N26" s="166"/>
      <c r="O26" s="166"/>
      <c r="P26" s="166"/>
      <c r="Q26" s="166"/>
      <c r="R26" s="166"/>
      <c r="W26" s="166"/>
      <c r="X26" s="166"/>
      <c r="Y26" s="166"/>
      <c r="Z26" s="166"/>
      <c r="AA26" s="166"/>
      <c r="AB26" s="166"/>
      <c r="AC26" s="166"/>
      <c r="AD26" s="166"/>
      <c r="AE26" s="166"/>
      <c r="AF26" s="166"/>
      <c r="AG26" s="166"/>
      <c r="AH26" s="166"/>
    </row>
    <row r="27" spans="1:34">
      <c r="A27" s="248">
        <v>-1.5933735370635986</v>
      </c>
      <c r="B27" s="248">
        <v>0</v>
      </c>
      <c r="C27" s="249">
        <v>2.8056588779187364E-2</v>
      </c>
      <c r="E27" s="166"/>
      <c r="F27" s="166"/>
      <c r="G27" s="166"/>
      <c r="H27" s="166"/>
      <c r="I27" s="166"/>
      <c r="J27" s="166"/>
      <c r="K27" s="166"/>
      <c r="L27" s="166"/>
      <c r="M27" s="166"/>
      <c r="N27" s="166"/>
      <c r="O27" s="166"/>
      <c r="P27" s="166"/>
      <c r="Q27" s="166"/>
      <c r="R27" s="166"/>
      <c r="W27" s="166"/>
      <c r="X27" s="166"/>
      <c r="Y27" s="166"/>
      <c r="Z27" s="166"/>
      <c r="AA27" s="166"/>
      <c r="AB27" s="166"/>
      <c r="AC27" s="166"/>
      <c r="AD27" s="166"/>
      <c r="AE27" s="166"/>
      <c r="AF27" s="166"/>
      <c r="AG27" s="166"/>
      <c r="AH27" s="166"/>
    </row>
    <row r="28" spans="1:34">
      <c r="A28" s="248">
        <v>-1.5771083831787109</v>
      </c>
      <c r="B28" s="248">
        <v>0</v>
      </c>
      <c r="C28" s="249">
        <v>2.9413959510441432E-2</v>
      </c>
      <c r="E28" s="166"/>
      <c r="F28" s="166"/>
      <c r="G28" s="166"/>
      <c r="H28" s="166"/>
      <c r="I28" s="166"/>
      <c r="J28" s="166"/>
      <c r="K28" s="166"/>
      <c r="L28" s="166"/>
      <c r="M28" s="166"/>
      <c r="N28" s="166"/>
      <c r="O28" s="166"/>
      <c r="P28" s="166"/>
      <c r="Q28" s="166"/>
      <c r="R28" s="166"/>
      <c r="W28" s="166"/>
      <c r="X28" s="166"/>
      <c r="Y28" s="166"/>
      <c r="Z28" s="166"/>
      <c r="AA28" s="166"/>
      <c r="AB28" s="166"/>
      <c r="AC28" s="166"/>
      <c r="AD28" s="166"/>
      <c r="AE28" s="166"/>
      <c r="AF28" s="166"/>
      <c r="AG28" s="166"/>
      <c r="AH28" s="166"/>
    </row>
    <row r="29" spans="1:34">
      <c r="A29" s="248">
        <v>-1.5608433485031128</v>
      </c>
      <c r="B29" s="248">
        <v>0</v>
      </c>
      <c r="C29" s="249">
        <v>3.0365588484959623E-2</v>
      </c>
      <c r="E29" s="166"/>
      <c r="F29" s="166"/>
      <c r="G29" s="166"/>
      <c r="H29" s="166"/>
      <c r="I29" s="166"/>
      <c r="J29" s="166"/>
      <c r="K29" s="166"/>
      <c r="L29" s="166"/>
      <c r="M29" s="166"/>
      <c r="N29" s="166"/>
      <c r="O29" s="166"/>
      <c r="P29" s="166"/>
      <c r="Q29" s="166"/>
      <c r="R29" s="166"/>
      <c r="W29" s="166"/>
      <c r="X29" s="166"/>
      <c r="Y29" s="166"/>
      <c r="Z29" s="166"/>
      <c r="AA29" s="166"/>
      <c r="AB29" s="166"/>
      <c r="AC29" s="166"/>
      <c r="AD29" s="166"/>
      <c r="AE29" s="166"/>
      <c r="AF29" s="166"/>
      <c r="AG29" s="166"/>
      <c r="AH29" s="166"/>
    </row>
    <row r="30" spans="1:34">
      <c r="A30" s="248">
        <v>-1.5445783138275146</v>
      </c>
      <c r="B30" s="248">
        <v>0</v>
      </c>
      <c r="C30" s="249">
        <v>3.0911487137911291E-2</v>
      </c>
      <c r="E30" s="166"/>
      <c r="F30" s="166"/>
      <c r="G30" s="166"/>
      <c r="H30" s="166"/>
      <c r="I30" s="166"/>
      <c r="J30" s="166"/>
      <c r="K30" s="166"/>
      <c r="L30" s="166"/>
      <c r="M30" s="166"/>
      <c r="N30" s="166"/>
      <c r="O30" s="166"/>
      <c r="P30" s="166"/>
      <c r="Q30" s="166"/>
      <c r="R30" s="166"/>
      <c r="W30" s="166"/>
      <c r="X30" s="166"/>
      <c r="Y30" s="166"/>
      <c r="Z30" s="166"/>
      <c r="AA30" s="166"/>
      <c r="AB30" s="166"/>
      <c r="AC30" s="166"/>
      <c r="AD30" s="166"/>
      <c r="AE30" s="166"/>
      <c r="AF30" s="166"/>
      <c r="AG30" s="166"/>
      <c r="AH30" s="166"/>
    </row>
    <row r="31" spans="1:34">
      <c r="A31" s="248">
        <v>-1.5283132791519165</v>
      </c>
      <c r="B31" s="248">
        <v>0</v>
      </c>
      <c r="C31" s="251">
        <v>3.1051655469296432E-2</v>
      </c>
      <c r="E31" s="166"/>
      <c r="F31" s="166"/>
      <c r="G31" s="166"/>
      <c r="H31" s="166"/>
      <c r="I31" s="166"/>
      <c r="J31" s="166"/>
      <c r="K31" s="166"/>
      <c r="L31" s="166"/>
      <c r="M31" s="166"/>
      <c r="N31" s="166"/>
      <c r="O31" s="166"/>
      <c r="P31" s="166"/>
      <c r="Q31" s="166"/>
      <c r="R31" s="166"/>
      <c r="W31" s="166"/>
      <c r="X31" s="166"/>
      <c r="Y31" s="166"/>
      <c r="Z31" s="166"/>
      <c r="AA31" s="166"/>
      <c r="AB31" s="166"/>
      <c r="AC31" s="166"/>
      <c r="AD31" s="166"/>
      <c r="AE31" s="166"/>
      <c r="AF31" s="166"/>
      <c r="AG31" s="166"/>
      <c r="AH31" s="166"/>
    </row>
    <row r="32" spans="1:34">
      <c r="A32" s="248">
        <v>-1.5120482444763184</v>
      </c>
      <c r="B32" s="248">
        <v>0</v>
      </c>
      <c r="C32" s="248">
        <v>3.078609347911505E-2</v>
      </c>
      <c r="E32" s="166"/>
      <c r="F32" s="166"/>
      <c r="G32" s="166"/>
      <c r="H32" s="166"/>
      <c r="I32" s="166"/>
      <c r="J32" s="166"/>
      <c r="K32" s="166"/>
      <c r="L32" s="166"/>
      <c r="M32" s="166"/>
      <c r="N32" s="166"/>
      <c r="O32" s="166"/>
      <c r="P32" s="166"/>
      <c r="Q32" s="166"/>
      <c r="R32" s="166"/>
      <c r="W32" s="166"/>
      <c r="X32" s="166"/>
      <c r="Y32" s="166"/>
      <c r="Z32" s="166"/>
      <c r="AA32" s="166"/>
      <c r="AB32" s="166"/>
      <c r="AC32" s="166"/>
      <c r="AD32" s="166"/>
      <c r="AE32" s="166"/>
      <c r="AF32" s="166"/>
      <c r="AG32" s="166"/>
      <c r="AH32" s="166"/>
    </row>
    <row r="33" spans="1:5">
      <c r="A33" s="248">
        <v>-1.4957830905914307</v>
      </c>
      <c r="B33" s="248">
        <v>0</v>
      </c>
      <c r="C33" s="248">
        <v>3.0114794760502946E-2</v>
      </c>
      <c r="E33" s="166"/>
    </row>
    <row r="34" spans="1:5">
      <c r="A34" s="248">
        <v>-1.4795180559158325</v>
      </c>
      <c r="B34" s="248">
        <v>0</v>
      </c>
      <c r="C34" s="248">
        <v>2.90377691535199E-2</v>
      </c>
    </row>
    <row r="35" spans="1:5">
      <c r="A35" s="248">
        <v>-1.4632530212402344</v>
      </c>
      <c r="B35" s="248">
        <v>0</v>
      </c>
      <c r="C35" s="248">
        <v>2.755501322497032E-2</v>
      </c>
    </row>
    <row r="36" spans="1:5">
      <c r="A36" s="248">
        <v>-1.4469879865646362</v>
      </c>
      <c r="B36" s="248">
        <v>0</v>
      </c>
      <c r="C36" s="248">
        <v>2.5666526974854231E-2</v>
      </c>
    </row>
    <row r="37" spans="1:5">
      <c r="A37" s="248">
        <v>-1.4307228326797485</v>
      </c>
      <c r="B37" s="248">
        <v>0</v>
      </c>
      <c r="C37" s="248">
        <v>2.3372292101611097E-2</v>
      </c>
    </row>
    <row r="38" spans="1:5">
      <c r="A38" s="248">
        <v>-1.4144577980041504</v>
      </c>
      <c r="B38" s="248">
        <v>0</v>
      </c>
      <c r="C38" s="248">
        <v>2.0672342234693327E-2</v>
      </c>
    </row>
    <row r="39" spans="1:5">
      <c r="A39" s="248">
        <v>-1.3981927633285522</v>
      </c>
      <c r="B39" s="248">
        <v>0</v>
      </c>
      <c r="C39" s="248">
        <v>1.7566662046209047E-2</v>
      </c>
    </row>
    <row r="40" spans="1:5">
      <c r="A40" s="248">
        <v>-1.3819277286529541</v>
      </c>
      <c r="B40" s="248">
        <v>0</v>
      </c>
      <c r="C40" s="248">
        <v>1.4055251536158235E-2</v>
      </c>
    </row>
    <row r="41" spans="1:5">
      <c r="A41" s="248">
        <v>-1.365662693977356</v>
      </c>
      <c r="B41" s="248">
        <v>0</v>
      </c>
      <c r="C41" s="248">
        <v>1.0138110704540912E-2</v>
      </c>
    </row>
    <row r="42" spans="1:5">
      <c r="A42" s="248">
        <v>-1.3493975400924683</v>
      </c>
      <c r="B42" s="248">
        <v>0</v>
      </c>
      <c r="C42" s="248">
        <v>5.8152063814315928E-3</v>
      </c>
    </row>
    <row r="43" spans="1:5">
      <c r="A43" s="248">
        <v>-1.3331325054168701</v>
      </c>
      <c r="B43" s="248">
        <v>0</v>
      </c>
      <c r="C43" s="248">
        <v>1.0866019330125851E-3</v>
      </c>
    </row>
    <row r="44" spans="1:5">
      <c r="A44" s="248">
        <v>-1.316867470741272</v>
      </c>
      <c r="B44" s="248">
        <v>0</v>
      </c>
      <c r="C44" s="248">
        <v>0</v>
      </c>
    </row>
    <row r="45" spans="1:5">
      <c r="A45" s="248">
        <v>-1.3006024360656738</v>
      </c>
      <c r="B45" s="248">
        <v>0</v>
      </c>
      <c r="C45" s="248">
        <v>0</v>
      </c>
    </row>
    <row r="46" spans="1:5">
      <c r="A46" s="248">
        <v>-1.2843374013900757</v>
      </c>
      <c r="B46" s="248">
        <v>0</v>
      </c>
      <c r="C46" s="248">
        <v>0</v>
      </c>
    </row>
    <row r="47" spans="1:5">
      <c r="A47" s="248">
        <v>-1.268072247505188</v>
      </c>
      <c r="B47" s="248">
        <v>3.0550229560083708E-4</v>
      </c>
      <c r="C47" s="248">
        <v>0</v>
      </c>
    </row>
    <row r="48" spans="1:5">
      <c r="A48" s="248">
        <v>-1.2518072128295898</v>
      </c>
      <c r="B48" s="248">
        <v>5.0979573568464545E-3</v>
      </c>
      <c r="C48" s="248">
        <v>0</v>
      </c>
    </row>
    <row r="49" spans="1:3">
      <c r="A49" s="248">
        <v>-1.2355421781539917</v>
      </c>
      <c r="B49" s="248">
        <v>9.484682096525544E-3</v>
      </c>
      <c r="C49" s="248">
        <v>0</v>
      </c>
    </row>
    <row r="50" spans="1:3">
      <c r="A50" s="248">
        <v>-1.2192771434783936</v>
      </c>
      <c r="B50" s="248">
        <v>1.4052624075084412E-2</v>
      </c>
      <c r="C50" s="248">
        <v>0</v>
      </c>
    </row>
    <row r="51" spans="1:3">
      <c r="A51" s="248">
        <v>-1.2030119895935059</v>
      </c>
      <c r="B51" s="248">
        <v>2.2397489302943548E-2</v>
      </c>
      <c r="C51" s="248">
        <v>0</v>
      </c>
    </row>
    <row r="52" spans="1:3">
      <c r="A52" s="248">
        <v>-1.1867469549179077</v>
      </c>
      <c r="B52" s="248">
        <v>2.9930829753469598E-2</v>
      </c>
      <c r="C52" s="248">
        <v>0</v>
      </c>
    </row>
    <row r="53" spans="1:3">
      <c r="A53" s="248">
        <v>-1.1704819202423096</v>
      </c>
      <c r="B53" s="248">
        <v>3.6652709560862605E-2</v>
      </c>
      <c r="C53" s="248">
        <v>0</v>
      </c>
    </row>
    <row r="54" spans="1:3">
      <c r="A54" s="248">
        <v>-1.1542168855667114</v>
      </c>
      <c r="B54" s="248">
        <v>4.2563128725122572E-2</v>
      </c>
      <c r="C54" s="248">
        <v>0</v>
      </c>
    </row>
    <row r="55" spans="1:3">
      <c r="A55" s="248">
        <v>-1.1379518508911133</v>
      </c>
      <c r="B55" s="248">
        <v>4.7662087246249492E-2</v>
      </c>
      <c r="C55" s="248">
        <v>0</v>
      </c>
    </row>
    <row r="56" spans="1:3">
      <c r="A56" s="248">
        <v>-1.1216866970062256</v>
      </c>
      <c r="B56" s="248">
        <v>5.194961357437626E-2</v>
      </c>
      <c r="C56" s="248">
        <v>0</v>
      </c>
    </row>
    <row r="57" spans="1:3">
      <c r="A57" s="248">
        <v>-1.1054216623306274</v>
      </c>
      <c r="B57" s="248">
        <v>5.5425644861899846E-2</v>
      </c>
      <c r="C57" s="248">
        <v>0</v>
      </c>
    </row>
    <row r="58" spans="1:3">
      <c r="A58" s="248">
        <v>-1.0891566276550293</v>
      </c>
      <c r="B58" s="248">
        <v>5.8090215506290392E-2</v>
      </c>
      <c r="C58" s="248">
        <v>0</v>
      </c>
    </row>
    <row r="59" spans="1:3">
      <c r="A59" s="248">
        <v>-1.0728915929794312</v>
      </c>
      <c r="B59" s="248">
        <v>5.994332550754787E-2</v>
      </c>
      <c r="C59" s="248">
        <v>0</v>
      </c>
    </row>
    <row r="60" spans="1:3">
      <c r="A60" s="248">
        <v>-1.056626558303833</v>
      </c>
      <c r="B60" s="248">
        <v>6.0984974865672323E-2</v>
      </c>
      <c r="C60" s="248">
        <v>3.6294247055750893E-3</v>
      </c>
    </row>
    <row r="61" spans="1:3">
      <c r="A61" s="248">
        <v>-1.0403614044189453</v>
      </c>
      <c r="B61" s="248">
        <v>6.1215162294066754E-2</v>
      </c>
      <c r="C61" s="248">
        <v>9.2006493171457385E-3</v>
      </c>
    </row>
    <row r="62" spans="1:3">
      <c r="A62" s="248">
        <v>-1.0240963697433472</v>
      </c>
      <c r="B62" s="248">
        <v>6.0633884418587858E-2</v>
      </c>
      <c r="C62" s="248">
        <v>2.1378699254326367E-2</v>
      </c>
    </row>
    <row r="63" spans="1:3">
      <c r="A63" s="248">
        <v>-1.007831335067749</v>
      </c>
      <c r="B63" s="248">
        <v>5.9241145899975915E-2</v>
      </c>
      <c r="C63" s="248">
        <v>3.3947114902797781E-2</v>
      </c>
    </row>
    <row r="64" spans="1:3">
      <c r="A64" s="248">
        <v>-0.9915662407875061</v>
      </c>
      <c r="B64" s="248">
        <v>5.7036937173910209E-2</v>
      </c>
      <c r="C64" s="248">
        <v>4.5298378953867499E-2</v>
      </c>
    </row>
    <row r="65" spans="1:3">
      <c r="A65" s="248">
        <v>-0.97530120611190796</v>
      </c>
      <c r="B65" s="248">
        <v>5.4021274395363555E-2</v>
      </c>
      <c r="C65" s="248">
        <v>5.5432408212436841E-2</v>
      </c>
    </row>
    <row r="66" spans="1:3">
      <c r="A66" s="248">
        <v>-0.95903617143630981</v>
      </c>
      <c r="B66" s="248">
        <v>5.0194150973683856E-2</v>
      </c>
      <c r="C66" s="248">
        <v>6.4349246506306634E-2</v>
      </c>
    </row>
    <row r="67" spans="1:3">
      <c r="A67" s="248">
        <v>-0.94277107715606689</v>
      </c>
      <c r="B67" s="248">
        <v>4.5555548423533612E-2</v>
      </c>
      <c r="C67" s="248">
        <v>7.2048919821249516E-2</v>
      </c>
    </row>
    <row r="68" spans="1:3">
      <c r="A68" s="248">
        <v>-0.92650604248046875</v>
      </c>
      <c r="B68" s="248">
        <v>4.0105500741919209E-2</v>
      </c>
      <c r="C68" s="248">
        <v>7.8531371725217236E-2</v>
      </c>
    </row>
    <row r="69" spans="1:3">
      <c r="A69" s="248">
        <v>-0.91024094820022583</v>
      </c>
      <c r="B69" s="248">
        <v>3.3843967984486072E-2</v>
      </c>
      <c r="C69" s="248">
        <v>8.3796649729235811E-2</v>
      </c>
    </row>
    <row r="70" spans="1:3">
      <c r="A70" s="248">
        <v>-0.89397591352462769</v>
      </c>
      <c r="B70" s="248">
        <v>2.6770996042936951E-2</v>
      </c>
      <c r="C70" s="248">
        <v>9.2650973895004304E-2</v>
      </c>
    </row>
    <row r="71" spans="1:3">
      <c r="A71" s="248">
        <v>-0.87771081924438477</v>
      </c>
      <c r="B71" s="248">
        <v>1.8886533078220955E-2</v>
      </c>
      <c r="C71" s="248">
        <v>9.9894311553608381E-2</v>
      </c>
    </row>
    <row r="72" spans="1:3">
      <c r="A72" s="248">
        <v>-0.86144578456878662</v>
      </c>
      <c r="B72" s="248">
        <v>1.5442674003961345E-2</v>
      </c>
      <c r="C72" s="248">
        <v>0.10551469840852945</v>
      </c>
    </row>
    <row r="73" spans="1:3">
      <c r="A73" s="248">
        <v>-0.84518074989318848</v>
      </c>
      <c r="B73" s="248">
        <v>1.5799157399343927E-2</v>
      </c>
      <c r="C73" s="248">
        <v>0.10951216397718444</v>
      </c>
    </row>
    <row r="74" spans="1:3">
      <c r="A74" s="248">
        <v>-0.82891565561294556</v>
      </c>
      <c r="B74" s="248">
        <v>1.53441769974497E-2</v>
      </c>
      <c r="C74" s="248">
        <v>0.11188671398761937</v>
      </c>
    </row>
    <row r="75" spans="1:3">
      <c r="A75" s="248">
        <v>-0.81265062093734741</v>
      </c>
      <c r="B75" s="248">
        <v>1.5971519870839206E-2</v>
      </c>
      <c r="C75" s="248">
        <v>0.11263833103640496</v>
      </c>
    </row>
    <row r="76" spans="1:3">
      <c r="A76" s="248">
        <v>-0.79638552665710449</v>
      </c>
      <c r="B76" s="248">
        <v>1.9812274692080706E-2</v>
      </c>
      <c r="C76" s="248">
        <v>0.11176702063227417</v>
      </c>
    </row>
    <row r="77" spans="1:3">
      <c r="A77" s="248">
        <v>-0.78012049198150635</v>
      </c>
      <c r="B77" s="248">
        <v>2.7475344410265758E-2</v>
      </c>
      <c r="C77" s="248">
        <v>0.10927278916119031</v>
      </c>
    </row>
    <row r="78" spans="1:3">
      <c r="A78" s="248">
        <v>-0.76385539770126343</v>
      </c>
      <c r="B78" s="248">
        <v>3.4326977106799814E-2</v>
      </c>
      <c r="C78" s="248">
        <v>0.10935508306373334</v>
      </c>
    </row>
    <row r="79" spans="1:3">
      <c r="A79" s="248">
        <v>-0.74759036302566528</v>
      </c>
      <c r="B79" s="248">
        <v>4.0367122565050144E-2</v>
      </c>
      <c r="C79" s="248">
        <v>0.10986859674981521</v>
      </c>
    </row>
    <row r="80" spans="1:3">
      <c r="A80" s="248">
        <v>-0.73132532835006714</v>
      </c>
      <c r="B80" s="248">
        <v>4.5595807380167434E-2</v>
      </c>
      <c r="C80" s="248">
        <v>0.11123588958595892</v>
      </c>
    </row>
    <row r="81" spans="1:3">
      <c r="A81" s="248">
        <v>-0.71506023406982422</v>
      </c>
      <c r="B81" s="248">
        <v>5.0013046252616947E-2</v>
      </c>
      <c r="C81" s="248">
        <v>0.11016879212174277</v>
      </c>
    </row>
    <row r="82" spans="1:3">
      <c r="A82" s="248">
        <v>-0.69879519939422607</v>
      </c>
      <c r="B82" s="248">
        <v>5.3618806807799513E-2</v>
      </c>
      <c r="C82" s="248">
        <v>0.10901687649615108</v>
      </c>
    </row>
    <row r="83" spans="1:3">
      <c r="A83" s="248">
        <v>-0.68253010511398315</v>
      </c>
      <c r="B83" s="248">
        <v>5.8666098848146164E-2</v>
      </c>
      <c r="C83" s="248">
        <v>0.11094408811445237</v>
      </c>
    </row>
    <row r="84" spans="1:3">
      <c r="A84" s="248">
        <v>-0.66626507043838501</v>
      </c>
      <c r="B84" s="248">
        <v>6.5280624757487749E-2</v>
      </c>
      <c r="C84" s="248">
        <v>0.11133985738952504</v>
      </c>
    </row>
    <row r="85" spans="1:3">
      <c r="A85" s="248">
        <v>-0.64999997615814209</v>
      </c>
      <c r="B85" s="248">
        <v>7.0677977250876975E-2</v>
      </c>
      <c r="C85" s="248">
        <v>0.11371066548126924</v>
      </c>
    </row>
    <row r="86" spans="1:3">
      <c r="A86" s="248">
        <v>-0.63373494148254395</v>
      </c>
      <c r="B86" s="248">
        <v>7.4858116770316493E-2</v>
      </c>
      <c r="C86" s="248">
        <v>0.11562895858640623</v>
      </c>
    </row>
    <row r="87" spans="1:3">
      <c r="A87" s="248">
        <v>-0.6174699068069458</v>
      </c>
      <c r="B87" s="248">
        <v>7.7870772809645161E-2</v>
      </c>
      <c r="C87" s="248">
        <v>0.12516742371916878</v>
      </c>
    </row>
    <row r="88" spans="1:3">
      <c r="A88" s="248">
        <v>-0.60120481252670288</v>
      </c>
      <c r="B88" s="248">
        <v>9.0433661842447735E-2</v>
      </c>
      <c r="C88" s="248">
        <v>0.13504823744124342</v>
      </c>
    </row>
    <row r="89" spans="1:3">
      <c r="A89" s="248">
        <v>-0.58493977785110474</v>
      </c>
      <c r="B89" s="248">
        <v>0.11054989201961485</v>
      </c>
      <c r="C89" s="248">
        <v>0.14249462856444098</v>
      </c>
    </row>
    <row r="90" spans="1:3">
      <c r="A90" s="248">
        <v>-0.56867468357086182</v>
      </c>
      <c r="B90" s="248">
        <v>0.13131712346561286</v>
      </c>
      <c r="C90" s="248">
        <v>0.15209082058111964</v>
      </c>
    </row>
    <row r="91" spans="1:3">
      <c r="A91" s="248">
        <v>-0.55240964889526367</v>
      </c>
      <c r="B91" s="248">
        <v>0.14883843028868102</v>
      </c>
      <c r="C91" s="248">
        <v>0.16152483375947257</v>
      </c>
    </row>
    <row r="92" spans="1:3">
      <c r="A92" s="248">
        <v>-0.53614455461502075</v>
      </c>
      <c r="B92" s="248">
        <v>0.16433838027158804</v>
      </c>
      <c r="C92" s="248">
        <v>0.17031156461903957</v>
      </c>
    </row>
    <row r="93" spans="1:3">
      <c r="A93" s="248">
        <v>-0.51987951993942261</v>
      </c>
      <c r="B93" s="248">
        <v>0.18325013620267169</v>
      </c>
      <c r="C93" s="248">
        <v>0.17585241475910995</v>
      </c>
    </row>
    <row r="94" spans="1:3">
      <c r="A94" s="248">
        <v>-0.50361448526382446</v>
      </c>
      <c r="B94" s="248">
        <v>0.19989996780231309</v>
      </c>
      <c r="C94" s="248">
        <v>0.17942437119612839</v>
      </c>
    </row>
    <row r="95" spans="1:3">
      <c r="A95" s="248">
        <v>-0.48734939098358154</v>
      </c>
      <c r="B95" s="248">
        <v>0.21502026526847939</v>
      </c>
      <c r="C95" s="248">
        <v>0.18379865006386514</v>
      </c>
    </row>
    <row r="96" spans="1:3">
      <c r="A96" s="248">
        <v>-0.47108432650566101</v>
      </c>
      <c r="B96" s="248">
        <v>0.23085127510375816</v>
      </c>
      <c r="C96" s="248">
        <v>0.18533279565588698</v>
      </c>
    </row>
    <row r="97" spans="1:3">
      <c r="A97" s="248">
        <v>-0.45481929183006287</v>
      </c>
      <c r="B97" s="248">
        <v>0.24935330824889049</v>
      </c>
      <c r="C97" s="248">
        <v>0.18402682358398273</v>
      </c>
    </row>
    <row r="98" spans="1:3">
      <c r="A98" s="248">
        <v>-0.43855422735214233</v>
      </c>
      <c r="B98" s="248">
        <v>0.26553084725531528</v>
      </c>
      <c r="C98" s="248">
        <v>0.1813399715988952</v>
      </c>
    </row>
    <row r="99" spans="1:3">
      <c r="A99" s="248">
        <v>-0.4222891628742218</v>
      </c>
      <c r="B99" s="248">
        <v>0.28705200160012401</v>
      </c>
      <c r="C99" s="248">
        <v>0.17905161267856154</v>
      </c>
    </row>
    <row r="100" spans="1:3">
      <c r="A100" s="248">
        <v>-0.40602409839630127</v>
      </c>
      <c r="B100" s="248">
        <v>0.31115113884710516</v>
      </c>
      <c r="C100" s="248">
        <v>0.17599188156213516</v>
      </c>
    </row>
    <row r="101" spans="1:3">
      <c r="A101" s="248">
        <v>-0.38975903391838074</v>
      </c>
      <c r="B101" s="248">
        <v>0.34059743959449346</v>
      </c>
      <c r="C101" s="248">
        <v>0.18176990054671568</v>
      </c>
    </row>
    <row r="102" spans="1:3">
      <c r="A102" s="248">
        <v>-0.37349396944046021</v>
      </c>
      <c r="B102" s="248">
        <v>0.37340773444772801</v>
      </c>
      <c r="C102" s="248">
        <v>0.19300402770950539</v>
      </c>
    </row>
    <row r="103" spans="1:3">
      <c r="A103" s="248">
        <v>-0.35722890496253967</v>
      </c>
      <c r="B103" s="248">
        <v>0.40491456204309711</v>
      </c>
      <c r="C103" s="248">
        <v>0.20951065129954555</v>
      </c>
    </row>
    <row r="104" spans="1:3">
      <c r="A104" s="248">
        <v>-0.34096387028694153</v>
      </c>
      <c r="B104" s="248">
        <v>0.42966757598260896</v>
      </c>
      <c r="C104" s="248">
        <v>0.23467401971125337</v>
      </c>
    </row>
    <row r="105" spans="1:3">
      <c r="A105" s="248">
        <v>-0.324698805809021</v>
      </c>
      <c r="B105" s="248">
        <v>0.44671173797974933</v>
      </c>
      <c r="C105" s="248">
        <v>0.26487126815862383</v>
      </c>
    </row>
    <row r="106" spans="1:3">
      <c r="A106" s="248">
        <v>-0.30843374133110046</v>
      </c>
      <c r="B106" s="248">
        <v>0.45770406718227602</v>
      </c>
      <c r="C106" s="248">
        <v>0.30329001582288745</v>
      </c>
    </row>
    <row r="107" spans="1:3">
      <c r="A107" s="248">
        <v>-0.29216867685317993</v>
      </c>
      <c r="B107" s="248">
        <v>0.46401187296040119</v>
      </c>
      <c r="C107" s="248">
        <v>0.34200991463973129</v>
      </c>
    </row>
    <row r="108" spans="1:3">
      <c r="A108" s="248">
        <v>-0.2759036123752594</v>
      </c>
      <c r="B108" s="248">
        <v>0.46732118677697604</v>
      </c>
      <c r="C108" s="248">
        <v>0.39225341618686815</v>
      </c>
    </row>
    <row r="109" spans="1:3">
      <c r="A109" s="248">
        <v>-0.25963854789733887</v>
      </c>
      <c r="B109" s="248">
        <v>0.47716039009217259</v>
      </c>
      <c r="C109" s="248">
        <v>0.43875276481932507</v>
      </c>
    </row>
    <row r="110" spans="1:3">
      <c r="A110" s="248">
        <v>-0.24337349832057953</v>
      </c>
      <c r="B110" s="248">
        <v>0.47816599709167684</v>
      </c>
      <c r="C110" s="248">
        <v>0.48086769696148834</v>
      </c>
    </row>
    <row r="111" spans="1:3">
      <c r="A111" s="248">
        <v>-0.227108433842659</v>
      </c>
      <c r="B111" s="248">
        <v>0.48665008807929278</v>
      </c>
      <c r="C111" s="248">
        <v>0.52876626368894097</v>
      </c>
    </row>
    <row r="112" spans="1:3">
      <c r="A112" s="248">
        <v>-0.21084336936473846</v>
      </c>
      <c r="B112" s="248">
        <v>0.49917176078957615</v>
      </c>
      <c r="C112" s="248">
        <v>0.58087590906861286</v>
      </c>
    </row>
    <row r="113" spans="1:3">
      <c r="A113" s="248">
        <v>-0.19457831978797913</v>
      </c>
      <c r="B113" s="248">
        <v>0.51697514023615798</v>
      </c>
      <c r="C113" s="248">
        <v>0.63331574119782896</v>
      </c>
    </row>
    <row r="114" spans="1:3">
      <c r="A114" s="248">
        <v>-0.17831325531005859</v>
      </c>
      <c r="B114" s="248">
        <v>0.54016066712660227</v>
      </c>
      <c r="C114" s="248">
        <v>0.6895206369242729</v>
      </c>
    </row>
    <row r="115" spans="1:3">
      <c r="A115" s="248">
        <v>-0.16204819083213806</v>
      </c>
      <c r="B115" s="248">
        <v>0.55924345114748308</v>
      </c>
      <c r="C115" s="248">
        <v>0.74549772407392212</v>
      </c>
    </row>
    <row r="116" spans="1:3">
      <c r="A116" s="248">
        <v>-0.14578312635421753</v>
      </c>
      <c r="B116" s="248">
        <v>0.57378497059108757</v>
      </c>
      <c r="C116" s="248">
        <v>0.81650785712765594</v>
      </c>
    </row>
    <row r="117" spans="1:3">
      <c r="A117" s="248">
        <v>-0.12951807677745819</v>
      </c>
      <c r="B117" s="248">
        <v>0.58353047463081975</v>
      </c>
      <c r="C117" s="248">
        <v>0.89107645389054579</v>
      </c>
    </row>
    <row r="118" spans="1:3">
      <c r="A118" s="248">
        <v>-0.11325301229953766</v>
      </c>
      <c r="B118" s="248">
        <v>0.59782335231145578</v>
      </c>
      <c r="C118" s="248">
        <v>0.97251155219338359</v>
      </c>
    </row>
    <row r="119" spans="1:3">
      <c r="A119" s="248">
        <v>-9.6987955272197723E-2</v>
      </c>
      <c r="B119" s="248">
        <v>0.60393465693723303</v>
      </c>
      <c r="C119" s="248">
        <v>1.0524193680830904</v>
      </c>
    </row>
    <row r="120" spans="1:3">
      <c r="A120" s="248">
        <v>-8.0722890794277191E-2</v>
      </c>
      <c r="B120" s="248">
        <v>0.6182684714556429</v>
      </c>
      <c r="C120" s="248">
        <v>1.1288816776971458</v>
      </c>
    </row>
    <row r="121" spans="1:3">
      <c r="A121" s="248">
        <v>-6.4457833766937256E-2</v>
      </c>
      <c r="B121" s="248">
        <v>0.63477878633335494</v>
      </c>
      <c r="C121" s="248">
        <v>1.1891202802917402</v>
      </c>
    </row>
    <row r="122" spans="1:3">
      <c r="A122" s="248">
        <v>-4.8192769289016724E-2</v>
      </c>
      <c r="B122" s="248">
        <v>0.65166478279341256</v>
      </c>
      <c r="C122" s="248">
        <v>1.2323640433510741</v>
      </c>
    </row>
    <row r="123" spans="1:3">
      <c r="A123" s="248">
        <v>-3.1927712261676788E-2</v>
      </c>
      <c r="B123" s="248">
        <v>0.67074506011086965</v>
      </c>
      <c r="C123" s="248">
        <v>1.2687410918423416</v>
      </c>
    </row>
    <row r="124" spans="1:3">
      <c r="A124" s="248">
        <v>-1.5662651509046555E-2</v>
      </c>
      <c r="B124" s="248">
        <v>0.71464201542236749</v>
      </c>
      <c r="C124" s="248">
        <v>1.2981111783881387</v>
      </c>
    </row>
    <row r="125" spans="1:3">
      <c r="A125" s="248">
        <v>6.0240965103730559E-4</v>
      </c>
      <c r="B125" s="248">
        <v>0.76838175347560767</v>
      </c>
      <c r="C125" s="248">
        <v>1.3154667089167944</v>
      </c>
    </row>
    <row r="126" spans="1:3">
      <c r="A126" s="248">
        <v>1.6867469996213913E-2</v>
      </c>
      <c r="B126" s="248">
        <v>0.82436211346292887</v>
      </c>
      <c r="C126" s="248">
        <v>1.331427688243684</v>
      </c>
    </row>
    <row r="127" spans="1:3">
      <c r="A127" s="248">
        <v>3.3132530748844147E-2</v>
      </c>
      <c r="B127" s="248">
        <v>0.87465252005685579</v>
      </c>
      <c r="C127" s="248">
        <v>1.3402470939455007</v>
      </c>
    </row>
    <row r="128" spans="1:3">
      <c r="A128" s="248">
        <v>4.939759150147438E-2</v>
      </c>
      <c r="B128" s="248">
        <v>0.92118260667089946</v>
      </c>
      <c r="C128" s="248">
        <v>1.3449307809542013</v>
      </c>
    </row>
    <row r="129" spans="1:3">
      <c r="A129" s="248">
        <v>6.5662652254104614E-2</v>
      </c>
      <c r="B129" s="248">
        <v>0.96717845324995355</v>
      </c>
      <c r="C129" s="248">
        <v>1.34960316391713</v>
      </c>
    </row>
    <row r="130" spans="1:3">
      <c r="A130" s="248">
        <v>8.192770928144455E-2</v>
      </c>
      <c r="B130" s="248">
        <v>1.0151165735238914</v>
      </c>
      <c r="C130" s="248">
        <v>1.357049420399175</v>
      </c>
    </row>
    <row r="131" spans="1:3">
      <c r="A131" s="248">
        <v>9.8192773759365082E-2</v>
      </c>
      <c r="B131" s="248">
        <v>1.0595676610965774</v>
      </c>
      <c r="C131" s="248">
        <v>1.3761676816310091</v>
      </c>
    </row>
    <row r="132" spans="1:3">
      <c r="A132" s="248">
        <v>0.11445783078670502</v>
      </c>
      <c r="B132" s="248">
        <v>1.1002125698963863</v>
      </c>
      <c r="C132" s="248">
        <v>1.3897217624000389</v>
      </c>
    </row>
    <row r="133" spans="1:3">
      <c r="A133" s="248">
        <v>0.13072289526462555</v>
      </c>
      <c r="B133" s="248">
        <v>1.1292648360368507</v>
      </c>
      <c r="C133" s="248">
        <v>1.4033851885215451</v>
      </c>
    </row>
    <row r="134" spans="1:3">
      <c r="A134" s="248">
        <v>0.14698794484138489</v>
      </c>
      <c r="B134" s="248">
        <v>1.1559664234585814</v>
      </c>
      <c r="C134" s="248">
        <v>1.3946482138053462</v>
      </c>
    </row>
    <row r="135" spans="1:3">
      <c r="A135" s="248">
        <v>0.16325300931930542</v>
      </c>
      <c r="B135" s="248">
        <v>1.1740624526667351</v>
      </c>
      <c r="C135" s="248">
        <v>1.3761994567989426</v>
      </c>
    </row>
    <row r="136" spans="1:3">
      <c r="A136" s="248">
        <v>0.17951807379722595</v>
      </c>
      <c r="B136" s="248">
        <v>1.2087117868374864</v>
      </c>
      <c r="C136" s="248">
        <v>1.3519689296664334</v>
      </c>
    </row>
    <row r="137" spans="1:3">
      <c r="A137" s="248">
        <v>0.19578313827514648</v>
      </c>
      <c r="B137" s="248">
        <v>1.2401299631236338</v>
      </c>
      <c r="C137" s="248">
        <v>1.3258250162127718</v>
      </c>
    </row>
    <row r="138" spans="1:3">
      <c r="A138" s="248">
        <v>0.21204818785190582</v>
      </c>
      <c r="B138" s="248">
        <v>1.2569319518876489</v>
      </c>
      <c r="C138" s="248">
        <v>1.2919100090453977</v>
      </c>
    </row>
    <row r="139" spans="1:3">
      <c r="A139" s="248">
        <v>0.22831325232982635</v>
      </c>
      <c r="B139" s="248">
        <v>1.2638066520846838</v>
      </c>
      <c r="C139" s="248">
        <v>1.2469195637751593</v>
      </c>
    </row>
    <row r="140" spans="1:3">
      <c r="A140" s="248">
        <v>0.24457831680774689</v>
      </c>
      <c r="B140" s="248">
        <v>1.2662527967718271</v>
      </c>
      <c r="C140" s="248">
        <v>1.189840487634847</v>
      </c>
    </row>
    <row r="141" spans="1:3">
      <c r="A141" s="248">
        <v>0.26084336638450623</v>
      </c>
      <c r="B141" s="248">
        <v>1.2578307820395958</v>
      </c>
      <c r="C141" s="248">
        <v>1.1410929794511921</v>
      </c>
    </row>
    <row r="142" spans="1:3">
      <c r="A142" s="248">
        <v>0.27710843086242676</v>
      </c>
      <c r="B142" s="248">
        <v>1.2387231000042369</v>
      </c>
      <c r="C142" s="248">
        <v>1.0932971384613586</v>
      </c>
    </row>
    <row r="143" spans="1:3">
      <c r="A143" s="248">
        <v>0.29337349534034729</v>
      </c>
      <c r="B143" s="248">
        <v>1.2070924960769362</v>
      </c>
      <c r="C143" s="248">
        <v>1.0563500530198413</v>
      </c>
    </row>
    <row r="144" spans="1:3">
      <c r="A144" s="248">
        <v>0.30963855981826782</v>
      </c>
      <c r="B144" s="248">
        <v>1.1571973068847359</v>
      </c>
      <c r="C144" s="248">
        <v>1.0204205804586044</v>
      </c>
    </row>
    <row r="145" spans="1:3">
      <c r="A145" s="248">
        <v>0.32590362429618835</v>
      </c>
      <c r="B145" s="248">
        <v>1.1033322391795088</v>
      </c>
      <c r="C145" s="248">
        <v>0.98317808206769186</v>
      </c>
    </row>
    <row r="146" spans="1:3">
      <c r="A146" s="248">
        <v>0.34216868877410889</v>
      </c>
      <c r="B146" s="248">
        <v>1.0421107771561287</v>
      </c>
      <c r="C146" s="248">
        <v>0.93993330591944269</v>
      </c>
    </row>
    <row r="147" spans="1:3">
      <c r="A147" s="248">
        <v>0.35843372344970703</v>
      </c>
      <c r="B147" s="248">
        <v>0.98658521411202027</v>
      </c>
      <c r="C147" s="248">
        <v>0.88847927762693291</v>
      </c>
    </row>
    <row r="148" spans="1:3">
      <c r="A148" s="248">
        <v>0.37469878792762756</v>
      </c>
      <c r="B148" s="248">
        <v>0.93433466789279418</v>
      </c>
      <c r="C148" s="248">
        <v>0.8332005551368683</v>
      </c>
    </row>
    <row r="149" spans="1:3">
      <c r="A149" s="248">
        <v>0.3909638524055481</v>
      </c>
      <c r="B149" s="248">
        <v>0.89107435187637485</v>
      </c>
      <c r="C149" s="248">
        <v>0.77937949595079092</v>
      </c>
    </row>
    <row r="150" spans="1:3">
      <c r="A150" s="248">
        <v>0.40722891688346863</v>
      </c>
      <c r="B150" s="248">
        <v>0.84959948684510433</v>
      </c>
      <c r="C150" s="248">
        <v>0.72261893532130561</v>
      </c>
    </row>
    <row r="151" spans="1:3">
      <c r="A151" s="248">
        <v>0.42349398136138916</v>
      </c>
      <c r="B151" s="248">
        <v>0.80208013149054114</v>
      </c>
      <c r="C151" s="248">
        <v>0.66272507303041583</v>
      </c>
    </row>
    <row r="152" spans="1:3">
      <c r="A152" s="248">
        <v>0.43975904583930969</v>
      </c>
      <c r="B152" s="248">
        <v>0.74889424845856978</v>
      </c>
      <c r="C152" s="248">
        <v>0.60093667019064823</v>
      </c>
    </row>
    <row r="153" spans="1:3">
      <c r="A153" s="248">
        <v>0.45602411031723022</v>
      </c>
      <c r="B153" s="248">
        <v>0.69270209164162888</v>
      </c>
      <c r="C153" s="248">
        <v>0.54151536491374408</v>
      </c>
    </row>
    <row r="154" spans="1:3">
      <c r="A154" s="248">
        <v>0.47228914499282837</v>
      </c>
      <c r="B154" s="248">
        <v>0.64123045092608655</v>
      </c>
      <c r="C154" s="248">
        <v>0.4856517774623893</v>
      </c>
    </row>
    <row r="155" spans="1:3">
      <c r="A155" s="248">
        <v>0.4885542094707489</v>
      </c>
      <c r="B155" s="248">
        <v>0.59501927236726004</v>
      </c>
      <c r="C155" s="248">
        <v>0.44171963912153261</v>
      </c>
    </row>
    <row r="156" spans="1:3">
      <c r="A156" s="248">
        <v>0.50481927394866943</v>
      </c>
      <c r="B156" s="248">
        <v>0.55428587042335031</v>
      </c>
      <c r="C156" s="248">
        <v>0.40930050936461493</v>
      </c>
    </row>
    <row r="157" spans="1:3">
      <c r="A157" s="248">
        <v>0.52108430862426758</v>
      </c>
      <c r="B157" s="248">
        <v>0.52309516543557721</v>
      </c>
      <c r="C157" s="248">
        <v>0.38423475255272033</v>
      </c>
    </row>
    <row r="158" spans="1:3">
      <c r="A158" s="248">
        <v>0.5373494029045105</v>
      </c>
      <c r="B158" s="248">
        <v>0.49317111122597629</v>
      </c>
      <c r="C158" s="248">
        <v>0.36278453234022329</v>
      </c>
    </row>
    <row r="159" spans="1:3">
      <c r="A159" s="248">
        <v>0.55361443758010864</v>
      </c>
      <c r="B159" s="248">
        <v>0.47298865717479949</v>
      </c>
      <c r="C159" s="248">
        <v>0.33586431651993875</v>
      </c>
    </row>
    <row r="160" spans="1:3">
      <c r="A160" s="248">
        <v>0.56987953186035156</v>
      </c>
      <c r="B160" s="248">
        <v>0.45295733818253797</v>
      </c>
      <c r="C160" s="248">
        <v>0.31040017907613615</v>
      </c>
    </row>
    <row r="161" spans="1:3">
      <c r="A161" s="248">
        <v>0.58614456653594971</v>
      </c>
      <c r="B161" s="248">
        <v>0.44110905697905539</v>
      </c>
      <c r="C161" s="248">
        <v>0.28785641194262906</v>
      </c>
    </row>
    <row r="162" spans="1:3">
      <c r="A162" s="248">
        <v>0.60240966081619263</v>
      </c>
      <c r="B162" s="248">
        <v>0.42764488052735306</v>
      </c>
      <c r="C162" s="248">
        <v>0.27615761751244072</v>
      </c>
    </row>
    <row r="163" spans="1:3">
      <c r="A163" s="248">
        <v>0.61867469549179077</v>
      </c>
      <c r="B163" s="248">
        <v>0.40665938653891526</v>
      </c>
      <c r="C163" s="248">
        <v>0.26398393258527286</v>
      </c>
    </row>
    <row r="164" spans="1:3">
      <c r="A164" s="248">
        <v>0.63493973016738892</v>
      </c>
      <c r="B164" s="248">
        <v>0.38851002316456423</v>
      </c>
      <c r="C164" s="248">
        <v>0.25063180145892294</v>
      </c>
    </row>
    <row r="165" spans="1:3">
      <c r="A165" s="248">
        <v>0.65120482444763184</v>
      </c>
      <c r="B165" s="248">
        <v>0.37483441204451551</v>
      </c>
      <c r="C165" s="248">
        <v>0.24036450926313385</v>
      </c>
    </row>
    <row r="166" spans="1:3">
      <c r="A166" s="248">
        <v>0.66746985912322998</v>
      </c>
      <c r="B166" s="248">
        <v>0.35967352635555538</v>
      </c>
      <c r="C166" s="248">
        <v>0.2343923637798965</v>
      </c>
    </row>
    <row r="167" spans="1:3">
      <c r="A167" s="248">
        <v>0.6837349534034729</v>
      </c>
      <c r="B167" s="248">
        <v>0.35081990926579798</v>
      </c>
      <c r="C167" s="248">
        <v>0.22739185974809065</v>
      </c>
    </row>
    <row r="168" spans="1:3">
      <c r="A168" s="248">
        <v>0.69999998807907104</v>
      </c>
      <c r="B168" s="248">
        <v>0.33854747523382933</v>
      </c>
      <c r="C168" s="248">
        <v>0.22126568682432898</v>
      </c>
    </row>
    <row r="169" spans="1:3">
      <c r="A169" s="248">
        <v>0.71626508235931396</v>
      </c>
      <c r="B169" s="248">
        <v>0.3232046394450907</v>
      </c>
      <c r="C169" s="248">
        <v>0.21327210394593443</v>
      </c>
    </row>
    <row r="170" spans="1:3">
      <c r="A170" s="248">
        <v>0.73253011703491211</v>
      </c>
      <c r="B170" s="248">
        <v>0.30501289300975432</v>
      </c>
      <c r="C170" s="248">
        <v>0.20367210772345684</v>
      </c>
    </row>
    <row r="171" spans="1:3">
      <c r="A171" s="248">
        <v>0.74879515171051025</v>
      </c>
      <c r="B171" s="248">
        <v>0.2878065954432425</v>
      </c>
      <c r="C171" s="248">
        <v>0.19742592568682923</v>
      </c>
    </row>
    <row r="172" spans="1:3">
      <c r="A172" s="248">
        <v>0.76506024599075317</v>
      </c>
      <c r="B172" s="248">
        <v>0.28005716500492145</v>
      </c>
      <c r="C172" s="248">
        <v>0.18752812779413375</v>
      </c>
    </row>
    <row r="173" spans="1:3">
      <c r="A173" s="248">
        <v>0.78132528066635132</v>
      </c>
      <c r="B173" s="248">
        <v>0.2740869334698347</v>
      </c>
      <c r="C173" s="248">
        <v>0.17397878658779986</v>
      </c>
    </row>
    <row r="174" spans="1:3">
      <c r="A174" s="248">
        <v>0.79759037494659424</v>
      </c>
      <c r="B174" s="248">
        <v>0.26284215688264184</v>
      </c>
      <c r="C174" s="248">
        <v>0.16288640924871611</v>
      </c>
    </row>
    <row r="175" spans="1:3">
      <c r="A175" s="248">
        <v>0.81385540962219238</v>
      </c>
      <c r="B175" s="248">
        <v>0.25397359199049413</v>
      </c>
      <c r="C175" s="248">
        <v>0.15296154040742005</v>
      </c>
    </row>
    <row r="176" spans="1:3">
      <c r="A176" s="248">
        <v>0.8301205039024353</v>
      </c>
      <c r="B176" s="248">
        <v>0.24211750272129154</v>
      </c>
      <c r="C176" s="248">
        <v>0.14249169203621423</v>
      </c>
    </row>
    <row r="177" spans="1:3">
      <c r="A177" s="248">
        <v>0.84638553857803345</v>
      </c>
      <c r="B177" s="248">
        <v>0.23377830499095914</v>
      </c>
      <c r="C177" s="248">
        <v>0.13229172018893698</v>
      </c>
    </row>
    <row r="178" spans="1:3">
      <c r="A178" s="248">
        <v>0.86265057325363159</v>
      </c>
      <c r="B178" s="248">
        <v>0.22250604459082657</v>
      </c>
      <c r="C178" s="248">
        <v>0.12268281180290901</v>
      </c>
    </row>
    <row r="179" spans="1:3">
      <c r="A179" s="248">
        <v>0.87891566753387451</v>
      </c>
      <c r="B179" s="248">
        <v>0.20677068481248026</v>
      </c>
      <c r="C179" s="248">
        <v>0.1130758144917193</v>
      </c>
    </row>
    <row r="180" spans="1:3">
      <c r="A180" s="248">
        <v>0.89518070220947266</v>
      </c>
      <c r="B180" s="248">
        <v>0.18657234098270681</v>
      </c>
      <c r="C180" s="248">
        <v>0.10640323772908064</v>
      </c>
    </row>
    <row r="181" spans="1:3">
      <c r="A181" s="248">
        <v>0.91144579648971558</v>
      </c>
      <c r="B181" s="248">
        <v>0.16931369777346475</v>
      </c>
      <c r="C181" s="248">
        <v>9.8348134625202907E-2</v>
      </c>
    </row>
    <row r="182" spans="1:3">
      <c r="A182" s="248">
        <v>0.92771083116531372</v>
      </c>
      <c r="B182" s="248">
        <v>0.16182113077898794</v>
      </c>
      <c r="C182" s="248">
        <v>8.8670136779913408E-2</v>
      </c>
    </row>
    <row r="183" spans="1:3">
      <c r="A183" s="248">
        <v>0.94397592544555664</v>
      </c>
      <c r="B183" s="248">
        <v>0.16342600483822151</v>
      </c>
      <c r="C183" s="248">
        <v>7.7369173261469901E-2</v>
      </c>
    </row>
    <row r="184" spans="1:3">
      <c r="A184" s="248">
        <v>0.96024096012115479</v>
      </c>
      <c r="B184" s="248">
        <v>0.16820535642864837</v>
      </c>
      <c r="C184" s="248">
        <v>6.4445326896310981E-2</v>
      </c>
    </row>
    <row r="185" spans="1:3">
      <c r="A185" s="248">
        <v>0.97650599479675293</v>
      </c>
      <c r="B185" s="248">
        <v>0.17014459576810956</v>
      </c>
      <c r="C185" s="248">
        <v>4.9898559244885968E-2</v>
      </c>
    </row>
    <row r="186" spans="1:3">
      <c r="A186" s="248">
        <v>0.99277108907699585</v>
      </c>
      <c r="B186" s="248">
        <v>0.16924371435133823</v>
      </c>
      <c r="C186" s="248">
        <v>3.6086533461343683E-2</v>
      </c>
    </row>
    <row r="187" spans="1:3">
      <c r="A187" s="248">
        <v>1.0090361833572388</v>
      </c>
      <c r="B187" s="248">
        <v>0.16550269986788269</v>
      </c>
      <c r="C187" s="248">
        <v>2.3703876916143542E-2</v>
      </c>
    </row>
    <row r="188" spans="1:3">
      <c r="A188" s="248">
        <v>1.0253012180328369</v>
      </c>
      <c r="B188" s="248">
        <v>0.15892158163876652</v>
      </c>
      <c r="C188" s="248">
        <v>1.2263826466750677E-2</v>
      </c>
    </row>
    <row r="189" spans="1:3">
      <c r="A189" s="248">
        <v>1.0415662527084351</v>
      </c>
      <c r="B189" s="248">
        <v>0.14950035115868474</v>
      </c>
      <c r="C189" s="248">
        <v>8.5584382853834857E-3</v>
      </c>
    </row>
    <row r="190" spans="1:3">
      <c r="A190" s="248">
        <v>1.0578312873840332</v>
      </c>
      <c r="B190" s="248">
        <v>0.13723900842763728</v>
      </c>
      <c r="C190" s="248">
        <v>1.1033038369872945E-2</v>
      </c>
    </row>
    <row r="191" spans="1:3">
      <c r="A191" s="248">
        <v>1.0740964412689209</v>
      </c>
      <c r="B191" s="248">
        <v>0.12415732905108286</v>
      </c>
      <c r="C191" s="248">
        <v>1.4861111685242541E-2</v>
      </c>
    </row>
    <row r="192" spans="1:3">
      <c r="A192" s="248">
        <v>1.090361475944519</v>
      </c>
      <c r="B192" s="248">
        <v>0.11558312745954308</v>
      </c>
      <c r="C192" s="248">
        <v>1.8283425135796748E-2</v>
      </c>
    </row>
    <row r="193" spans="1:3">
      <c r="A193" s="248">
        <v>1.1066265106201172</v>
      </c>
      <c r="B193" s="248">
        <v>0.10920694488006147</v>
      </c>
      <c r="C193" s="248">
        <v>2.1300008264784429E-2</v>
      </c>
    </row>
    <row r="194" spans="1:3">
      <c r="A194" s="248">
        <v>1.1228915452957153</v>
      </c>
      <c r="B194" s="248">
        <v>0.10382200035855897</v>
      </c>
      <c r="C194" s="248">
        <v>2.3910861072205594E-2</v>
      </c>
    </row>
    <row r="195" spans="1:3">
      <c r="A195" s="248">
        <v>1.1391565799713135</v>
      </c>
      <c r="B195" s="248">
        <v>9.900041969991534E-2</v>
      </c>
      <c r="C195" s="248">
        <v>2.6115983558060232E-2</v>
      </c>
    </row>
    <row r="196" spans="1:3">
      <c r="A196" s="248">
        <v>1.1554217338562012</v>
      </c>
      <c r="B196" s="248">
        <v>9.2150129792660268E-2</v>
      </c>
      <c r="C196" s="248">
        <v>2.7915387423563646E-2</v>
      </c>
    </row>
    <row r="197" spans="1:3">
      <c r="A197" s="248">
        <v>1.1716867685317993</v>
      </c>
      <c r="B197" s="248">
        <v>8.772977532852462E-2</v>
      </c>
      <c r="C197" s="248">
        <v>2.9309046292616617E-2</v>
      </c>
    </row>
    <row r="198" spans="1:3">
      <c r="A198" s="248">
        <v>1.1879518032073975</v>
      </c>
      <c r="B198" s="248">
        <v>8.2393428840652691E-2</v>
      </c>
      <c r="C198" s="248">
        <v>3.0296974840103064E-2</v>
      </c>
    </row>
    <row r="199" spans="1:3">
      <c r="A199" s="248">
        <v>1.2042168378829956</v>
      </c>
      <c r="B199" s="248">
        <v>7.6193228016545544E-2</v>
      </c>
      <c r="C199" s="248">
        <v>3.0879173066022985E-2</v>
      </c>
    </row>
    <row r="200" spans="1:3">
      <c r="A200" s="248">
        <v>1.2204818725585938</v>
      </c>
      <c r="B200" s="248">
        <v>7.6667942543001286E-2</v>
      </c>
      <c r="C200" s="251">
        <v>3.1055640970376389E-2</v>
      </c>
    </row>
    <row r="201" spans="1:3">
      <c r="A201" s="248">
        <v>1.2367470264434814</v>
      </c>
      <c r="B201" s="248">
        <v>7.6654870199894351E-2</v>
      </c>
      <c r="C201" s="249">
        <v>3.082637538601363E-2</v>
      </c>
    </row>
    <row r="202" spans="1:3">
      <c r="A202" s="248">
        <v>1.2530120611190796</v>
      </c>
      <c r="B202" s="248">
        <v>7.5018870718992867E-2</v>
      </c>
      <c r="C202" s="249">
        <v>3.0191379673565361E-2</v>
      </c>
    </row>
    <row r="203" spans="1:3">
      <c r="A203" s="248">
        <v>1.2692770957946777</v>
      </c>
      <c r="B203" s="248">
        <v>7.1759949951825289E-2</v>
      </c>
      <c r="C203" s="249">
        <v>2.9150653639550567E-2</v>
      </c>
    </row>
    <row r="204" spans="1:3">
      <c r="A204" s="248">
        <v>1.2855421304702759</v>
      </c>
      <c r="B204" s="248">
        <v>6.6878107898391631E-2</v>
      </c>
      <c r="C204" s="249">
        <v>2.7704197283969261E-2</v>
      </c>
    </row>
    <row r="205" spans="1:3">
      <c r="A205" s="248">
        <v>1.3018072843551636</v>
      </c>
      <c r="B205" s="248">
        <v>6.0373290936760568E-2</v>
      </c>
      <c r="C205" s="249">
        <v>2.585199554497547E-2</v>
      </c>
    </row>
    <row r="206" spans="1:3">
      <c r="A206" s="248">
        <v>1.3180723190307617</v>
      </c>
      <c r="B206" s="248">
        <v>5.5815309720729067E-2</v>
      </c>
      <c r="C206" s="249">
        <v>2.359407557259249E-2</v>
      </c>
    </row>
    <row r="207" spans="1:3">
      <c r="A207" s="248">
        <v>1.3343373537063599</v>
      </c>
      <c r="B207" s="248">
        <v>5.5414315712947422E-2</v>
      </c>
      <c r="C207" s="249">
        <v>2.0930425278642983E-2</v>
      </c>
    </row>
    <row r="208" spans="1:3">
      <c r="A208" s="248">
        <v>1.350602388381958</v>
      </c>
      <c r="B208" s="248">
        <v>5.5474817974896493E-2</v>
      </c>
      <c r="C208" s="249">
        <v>1.7861044663126966E-2</v>
      </c>
    </row>
    <row r="209" spans="1:18">
      <c r="A209" s="248">
        <v>1.3668674230575562</v>
      </c>
      <c r="B209" s="248">
        <v>5.4723859593712523E-2</v>
      </c>
      <c r="C209" s="249">
        <v>1.4385933726044416E-2</v>
      </c>
    </row>
    <row r="210" spans="1:18">
      <c r="A210" s="248">
        <v>1.3831325769424438</v>
      </c>
      <c r="B210" s="248">
        <v>5.3161426144462239E-2</v>
      </c>
      <c r="C210" s="249">
        <v>1.0505062537184444E-2</v>
      </c>
    </row>
    <row r="211" spans="1:18">
      <c r="A211" s="248">
        <v>1.399397611618042</v>
      </c>
      <c r="B211" s="248">
        <v>5.0787540529674914E-2</v>
      </c>
      <c r="C211" s="249">
        <v>6.2184879833002225E-3</v>
      </c>
    </row>
    <row r="212" spans="1:18">
      <c r="A212" s="248">
        <v>1.4156626462936401</v>
      </c>
      <c r="B212" s="248">
        <v>4.7602194271754557E-2</v>
      </c>
      <c r="C212" s="249">
        <v>1.526183107849486E-3</v>
      </c>
    </row>
    <row r="213" spans="1:18">
      <c r="A213" s="248">
        <v>1.4319276809692383</v>
      </c>
      <c r="B213" s="248">
        <v>4.3605387370701146E-2</v>
      </c>
      <c r="C213" s="248">
        <v>0</v>
      </c>
    </row>
    <row r="214" spans="1:18">
      <c r="A214" s="248">
        <v>1.4481927156448364</v>
      </c>
      <c r="B214" s="248">
        <v>3.8797119826514695E-2</v>
      </c>
      <c r="C214" s="248">
        <v>0</v>
      </c>
    </row>
    <row r="215" spans="1:18">
      <c r="A215" s="248">
        <v>1.4644578695297241</v>
      </c>
      <c r="B215" s="248">
        <v>3.3177347477532058E-2</v>
      </c>
      <c r="C215" s="248">
        <v>0</v>
      </c>
    </row>
    <row r="216" spans="1:18">
      <c r="A216" s="248">
        <v>1.4807229042053223</v>
      </c>
      <c r="B216" s="248">
        <v>2.7123655988842841E-2</v>
      </c>
      <c r="C216" s="248">
        <v>0</v>
      </c>
    </row>
    <row r="217" spans="1:18">
      <c r="A217" s="248">
        <v>1.4969879388809204</v>
      </c>
      <c r="B217" s="248">
        <v>2.5134356424827344E-2</v>
      </c>
      <c r="C217" s="248">
        <v>0</v>
      </c>
    </row>
    <row r="218" spans="1:18">
      <c r="A218" s="248">
        <v>1.5132529735565186</v>
      </c>
      <c r="B218" s="248">
        <v>2.2739326539245326E-2</v>
      </c>
      <c r="C218" s="248">
        <v>0</v>
      </c>
    </row>
    <row r="219" spans="1:18">
      <c r="A219" s="248">
        <v>1.5295181274414063</v>
      </c>
      <c r="B219" s="248">
        <v>1.9938544317989196E-2</v>
      </c>
      <c r="C219" s="248">
        <v>0</v>
      </c>
    </row>
    <row r="220" spans="1:18">
      <c r="A220" s="248">
        <v>1.5457831621170044</v>
      </c>
      <c r="B220" s="248">
        <v>1.6732050815605505E-2</v>
      </c>
      <c r="C220" s="248">
        <v>0</v>
      </c>
      <c r="J220" s="166"/>
      <c r="K220" s="166"/>
      <c r="L220" s="166"/>
      <c r="M220" s="166"/>
      <c r="N220" s="166"/>
      <c r="O220" s="166"/>
      <c r="P220" s="166"/>
      <c r="Q220" s="166"/>
      <c r="R220" s="166"/>
    </row>
    <row r="221" spans="1:18">
      <c r="A221" s="248">
        <v>1.5620481967926025</v>
      </c>
      <c r="B221" s="248">
        <v>1.3119826991655302E-2</v>
      </c>
      <c r="C221" s="248">
        <v>0</v>
      </c>
      <c r="J221" s="166"/>
      <c r="K221" s="166"/>
      <c r="L221" s="166"/>
      <c r="M221" s="166"/>
      <c r="N221" s="166"/>
      <c r="O221" s="166"/>
      <c r="P221" s="166"/>
      <c r="Q221" s="166"/>
      <c r="R221" s="166"/>
    </row>
    <row r="222" spans="1:18">
      <c r="A222" s="248">
        <v>1.5783132314682007</v>
      </c>
      <c r="B222" s="248">
        <v>9.1018728461385694E-3</v>
      </c>
      <c r="C222" s="248">
        <v>0</v>
      </c>
      <c r="J222" s="166"/>
      <c r="K222" s="166"/>
      <c r="L222" s="166"/>
      <c r="M222" s="166"/>
      <c r="N222" s="166"/>
      <c r="O222" s="166"/>
      <c r="P222" s="166"/>
      <c r="Q222" s="166"/>
      <c r="R222" s="166"/>
    </row>
    <row r="223" spans="1:18">
      <c r="A223" s="248">
        <v>1.5945782661437988</v>
      </c>
      <c r="B223" s="248">
        <v>4.6781883790553234E-3</v>
      </c>
      <c r="C223" s="248">
        <v>0</v>
      </c>
      <c r="J223" s="166"/>
      <c r="K223" s="166"/>
      <c r="L223" s="166"/>
      <c r="M223" s="166"/>
      <c r="N223" s="166"/>
      <c r="O223" s="166"/>
      <c r="P223" s="166"/>
      <c r="Q223" s="166"/>
      <c r="R223" s="166"/>
    </row>
    <row r="224" spans="1:18">
      <c r="A224" s="248">
        <v>1.6108434200286865</v>
      </c>
      <c r="B224" s="248">
        <v>0</v>
      </c>
      <c r="C224" s="248">
        <v>0</v>
      </c>
      <c r="J224" s="166"/>
      <c r="K224" s="166"/>
      <c r="L224" s="166"/>
      <c r="M224" s="166"/>
      <c r="N224" s="166"/>
      <c r="O224" s="166"/>
      <c r="P224" s="166"/>
      <c r="Q224" s="166"/>
      <c r="R224" s="166"/>
    </row>
    <row r="225" spans="1:18">
      <c r="A225" s="248">
        <v>1.6271084547042847</v>
      </c>
      <c r="B225" s="248">
        <v>0</v>
      </c>
      <c r="C225" s="248">
        <v>0</v>
      </c>
      <c r="J225" s="166"/>
      <c r="K225" s="166"/>
      <c r="L225" s="166"/>
      <c r="M225" s="166"/>
      <c r="N225" s="166"/>
      <c r="O225" s="166"/>
      <c r="P225" s="166"/>
      <c r="Q225" s="166"/>
      <c r="R225" s="166"/>
    </row>
    <row r="226" spans="1:18">
      <c r="A226" s="248">
        <v>1.6433734893798828</v>
      </c>
      <c r="B226" s="248">
        <v>0</v>
      </c>
      <c r="C226" s="248">
        <v>0</v>
      </c>
      <c r="J226" s="166"/>
      <c r="K226" s="166"/>
      <c r="L226" s="166"/>
      <c r="M226" s="166"/>
      <c r="N226" s="166"/>
      <c r="O226" s="166"/>
      <c r="P226" s="166"/>
      <c r="Q226" s="166"/>
      <c r="R226" s="166"/>
    </row>
    <row r="227" spans="1:18">
      <c r="A227" s="248">
        <v>1.659638524055481</v>
      </c>
      <c r="B227" s="248">
        <v>0</v>
      </c>
      <c r="C227" s="248">
        <v>0</v>
      </c>
      <c r="J227" s="166"/>
      <c r="K227" s="166"/>
      <c r="L227" s="166"/>
      <c r="M227" s="166"/>
      <c r="N227" s="166"/>
      <c r="O227" s="166"/>
      <c r="P227" s="166"/>
      <c r="Q227" s="166"/>
      <c r="R227" s="166"/>
    </row>
    <row r="228" spans="1:18">
      <c r="A228" s="248">
        <v>1.6759035587310791</v>
      </c>
      <c r="B228" s="248">
        <v>0</v>
      </c>
      <c r="C228" s="248">
        <v>0</v>
      </c>
      <c r="J228" s="166"/>
      <c r="K228" s="166"/>
      <c r="L228" s="166"/>
      <c r="M228" s="166"/>
      <c r="N228" s="166"/>
      <c r="O228" s="166"/>
      <c r="P228" s="166"/>
      <c r="Q228" s="166"/>
      <c r="R228" s="166"/>
    </row>
    <row r="229" spans="1:18">
      <c r="A229" s="248">
        <v>1.6921687126159668</v>
      </c>
      <c r="B229" s="248">
        <v>0</v>
      </c>
      <c r="C229" s="248">
        <v>0</v>
      </c>
      <c r="J229" s="166"/>
      <c r="K229" s="166"/>
      <c r="L229" s="166"/>
      <c r="M229" s="166"/>
      <c r="N229" s="166"/>
      <c r="O229" s="166"/>
      <c r="P229" s="166"/>
      <c r="Q229" s="166"/>
      <c r="R229" s="166"/>
    </row>
    <row r="230" spans="1:18">
      <c r="A230" s="248">
        <v>1.7084337472915649</v>
      </c>
      <c r="B230" s="248">
        <v>0</v>
      </c>
      <c r="C230" s="248">
        <v>0</v>
      </c>
      <c r="J230" s="166"/>
      <c r="K230" s="166"/>
      <c r="L230" s="166"/>
      <c r="M230" s="166"/>
      <c r="N230" s="166"/>
      <c r="O230" s="166"/>
      <c r="P230" s="166"/>
      <c r="Q230" s="166"/>
      <c r="R230" s="166"/>
    </row>
    <row r="231" spans="1:18">
      <c r="A231" s="248">
        <v>1.7246987819671631</v>
      </c>
      <c r="B231" s="248">
        <v>0</v>
      </c>
      <c r="C231" s="248">
        <v>0</v>
      </c>
      <c r="J231" s="166"/>
      <c r="K231" s="166"/>
      <c r="L231" s="166"/>
      <c r="M231" s="166"/>
      <c r="N231" s="166"/>
      <c r="O231" s="166"/>
      <c r="P231" s="166"/>
      <c r="Q231" s="166"/>
      <c r="R231" s="166"/>
    </row>
    <row r="232" spans="1:18">
      <c r="A232" s="248">
        <v>1.7409638166427612</v>
      </c>
      <c r="B232" s="248">
        <v>0</v>
      </c>
      <c r="C232" s="248">
        <v>0</v>
      </c>
      <c r="J232" s="166"/>
      <c r="K232" s="166"/>
      <c r="L232" s="166"/>
      <c r="M232" s="166"/>
      <c r="N232" s="166"/>
      <c r="O232" s="166"/>
      <c r="P232" s="166"/>
      <c r="Q232" s="166"/>
      <c r="R232" s="166"/>
    </row>
    <row r="233" spans="1:18">
      <c r="A233" s="248">
        <v>1.7572289705276489</v>
      </c>
      <c r="B233" s="248">
        <v>0</v>
      </c>
      <c r="C233" s="248">
        <v>0</v>
      </c>
      <c r="J233" s="166"/>
      <c r="K233" s="166"/>
      <c r="L233" s="166"/>
      <c r="M233" s="166"/>
      <c r="N233" s="166"/>
      <c r="O233" s="166"/>
      <c r="P233" s="166"/>
      <c r="Q233" s="166"/>
      <c r="R233" s="166"/>
    </row>
    <row r="234" spans="1:18">
      <c r="A234" s="248">
        <v>1.7734940052032471</v>
      </c>
      <c r="B234" s="248">
        <v>0</v>
      </c>
      <c r="C234" s="248">
        <v>0</v>
      </c>
      <c r="J234" s="166"/>
      <c r="K234" s="166"/>
      <c r="L234" s="166"/>
      <c r="M234" s="166"/>
      <c r="N234" s="166"/>
      <c r="O234" s="166"/>
      <c r="P234" s="166"/>
      <c r="Q234" s="166"/>
      <c r="R234" s="166"/>
    </row>
    <row r="235" spans="1:18">
      <c r="A235" s="248">
        <v>1.7897590398788452</v>
      </c>
      <c r="B235" s="248">
        <v>0</v>
      </c>
      <c r="C235" s="248">
        <v>0</v>
      </c>
      <c r="J235" s="166"/>
      <c r="K235" s="166"/>
      <c r="L235" s="166"/>
      <c r="M235" s="166"/>
      <c r="N235" s="166"/>
      <c r="O235" s="166"/>
      <c r="P235" s="166"/>
      <c r="Q235" s="166"/>
      <c r="R235" s="166"/>
    </row>
    <row r="236" spans="1:18">
      <c r="A236" s="248">
        <v>1.8060240745544434</v>
      </c>
      <c r="B236" s="248">
        <v>0</v>
      </c>
      <c r="C236" s="248">
        <v>0</v>
      </c>
      <c r="J236" s="166"/>
      <c r="K236" s="166"/>
      <c r="L236" s="166"/>
      <c r="M236" s="166"/>
      <c r="N236" s="166"/>
      <c r="O236" s="166"/>
      <c r="P236" s="166"/>
      <c r="Q236" s="166"/>
      <c r="R236" s="166"/>
    </row>
    <row r="237" spans="1:18">
      <c r="A237" s="248">
        <v>1.8222891092300415</v>
      </c>
      <c r="B237" s="248">
        <v>0</v>
      </c>
      <c r="C237" s="248">
        <v>0</v>
      </c>
      <c r="J237" s="166"/>
      <c r="K237" s="166"/>
      <c r="L237" s="166"/>
      <c r="M237" s="166"/>
      <c r="N237" s="166"/>
      <c r="O237" s="166"/>
      <c r="P237" s="166"/>
      <c r="Q237" s="166"/>
      <c r="R237" s="166"/>
    </row>
    <row r="238" spans="1:18">
      <c r="A238" s="248">
        <v>1.8385542631149292</v>
      </c>
      <c r="B238" s="248">
        <v>0</v>
      </c>
      <c r="C238" s="248">
        <v>0</v>
      </c>
      <c r="J238" s="166"/>
      <c r="K238" s="166"/>
      <c r="L238" s="166"/>
      <c r="M238" s="166"/>
      <c r="N238" s="166"/>
      <c r="O238" s="166"/>
      <c r="P238" s="166"/>
      <c r="Q238" s="166"/>
      <c r="R238" s="166"/>
    </row>
    <row r="239" spans="1:18">
      <c r="A239" s="248">
        <v>1.8548192977905273</v>
      </c>
      <c r="B239" s="248">
        <v>4.5059566659464822E-3</v>
      </c>
      <c r="C239" s="248">
        <v>0</v>
      </c>
      <c r="J239" s="166"/>
      <c r="K239" s="166"/>
      <c r="L239" s="166"/>
      <c r="M239" s="166"/>
      <c r="N239" s="166"/>
      <c r="O239" s="166"/>
      <c r="P239" s="166"/>
      <c r="Q239" s="166"/>
      <c r="R239" s="166"/>
    </row>
    <row r="240" spans="1:18">
      <c r="A240" s="248">
        <v>1.8710843324661255</v>
      </c>
      <c r="B240" s="248">
        <v>8.9447206066532291E-3</v>
      </c>
      <c r="C240" s="248">
        <v>0</v>
      </c>
      <c r="J240" s="166"/>
      <c r="K240" s="166"/>
      <c r="L240" s="166"/>
      <c r="M240" s="166"/>
      <c r="N240" s="166"/>
      <c r="O240" s="166"/>
      <c r="P240" s="166"/>
      <c r="Q240" s="166"/>
      <c r="R240" s="166"/>
    </row>
    <row r="241" spans="1:18">
      <c r="A241" s="248">
        <v>1.8873493671417236</v>
      </c>
      <c r="B241" s="248">
        <v>1.2977754225793461E-2</v>
      </c>
      <c r="C241" s="248">
        <v>0</v>
      </c>
      <c r="J241" s="166"/>
      <c r="K241" s="166"/>
      <c r="L241" s="166"/>
      <c r="M241" s="166"/>
      <c r="N241" s="166"/>
      <c r="O241" s="166"/>
      <c r="P241" s="166"/>
      <c r="Q241" s="166"/>
      <c r="R241" s="166"/>
    </row>
    <row r="242" spans="1:18">
      <c r="A242" s="248">
        <v>1.9036144018173218</v>
      </c>
      <c r="B242" s="248">
        <v>1.6605057523367165E-2</v>
      </c>
      <c r="C242" s="248">
        <v>0</v>
      </c>
    </row>
    <row r="243" spans="1:18">
      <c r="A243" s="248">
        <v>1.9198795557022095</v>
      </c>
      <c r="B243" s="248">
        <v>1.9826652624002052E-2</v>
      </c>
      <c r="C243" s="248">
        <v>0</v>
      </c>
    </row>
    <row r="244" spans="1:18">
      <c r="A244" s="248">
        <v>1.9361445903778076</v>
      </c>
      <c r="B244" s="248">
        <v>2.2642492304774092E-2</v>
      </c>
      <c r="C244" s="248">
        <v>0</v>
      </c>
    </row>
    <row r="245" spans="1:18">
      <c r="A245" s="248">
        <v>1.9524096250534058</v>
      </c>
      <c r="B245" s="248">
        <v>2.5052601663979598E-2</v>
      </c>
      <c r="C245" s="248">
        <v>0</v>
      </c>
    </row>
    <row r="246" spans="1:18">
      <c r="A246" s="248">
        <v>1.9686746597290039</v>
      </c>
      <c r="B246" s="248">
        <v>2.7056980701618594E-2</v>
      </c>
      <c r="C246" s="248">
        <v>0</v>
      </c>
    </row>
    <row r="247" spans="1:18">
      <c r="A247" s="248">
        <v>1.9849398136138916</v>
      </c>
      <c r="B247" s="248">
        <v>2.8655639647622456E-2</v>
      </c>
      <c r="C247" s="248">
        <v>0</v>
      </c>
    </row>
    <row r="248" spans="1:18">
      <c r="A248" s="248">
        <v>2.0012047290802002</v>
      </c>
      <c r="B248" s="248">
        <v>2.9848547812197018E-2</v>
      </c>
      <c r="C248" s="248">
        <v>0</v>
      </c>
    </row>
    <row r="249" spans="1:18">
      <c r="A249" s="248">
        <v>2.0174698829650879</v>
      </c>
      <c r="B249" s="248">
        <v>3.0635740167730571E-2</v>
      </c>
      <c r="C249" s="248">
        <v>0</v>
      </c>
    </row>
    <row r="250" spans="1:18">
      <c r="A250" s="248">
        <v>2.0337350368499756</v>
      </c>
      <c r="B250" s="251">
        <v>3.1017196254338551E-2</v>
      </c>
      <c r="C250" s="248">
        <v>0</v>
      </c>
    </row>
    <row r="251" spans="1:18">
      <c r="A251" s="248">
        <v>2.0499999523162842</v>
      </c>
      <c r="B251" s="249">
        <v>3.0992919401572609E-2</v>
      </c>
      <c r="C251" s="248">
        <v>0</v>
      </c>
    </row>
  </sheetData>
  <pageMargins left="0.75" right="0.75" top="1" bottom="1" header="0.5" footer="0.5"/>
  <pageSetup orientation="portrait" horizontalDpi="90" verticalDpi="9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0A96-5287-438A-B981-F455D1B16391}">
  <dimension ref="A1:O62"/>
  <sheetViews>
    <sheetView workbookViewId="0">
      <selection activeCell="B88" sqref="B88:K88"/>
    </sheetView>
  </sheetViews>
  <sheetFormatPr defaultRowHeight="12.75"/>
  <cols>
    <col min="1" max="16384" width="9.140625" style="158"/>
  </cols>
  <sheetData>
    <row r="1" spans="1:15">
      <c r="A1" s="158" t="s">
        <v>245</v>
      </c>
      <c r="C1" s="158" t="s">
        <v>473</v>
      </c>
      <c r="D1" s="158" t="s">
        <v>474</v>
      </c>
      <c r="E1" s="158" t="s">
        <v>475</v>
      </c>
    </row>
    <row r="2" spans="1:15">
      <c r="A2" s="200">
        <v>1960</v>
      </c>
      <c r="B2" s="200">
        <f>A2</f>
        <v>1960</v>
      </c>
      <c r="C2" s="200">
        <v>1</v>
      </c>
      <c r="D2" s="200"/>
      <c r="E2" s="200"/>
    </row>
    <row r="3" spans="1:15">
      <c r="A3" s="200">
        <v>1961</v>
      </c>
      <c r="B3" s="200" t="str">
        <f>RIGHT(A3,2)</f>
        <v>61</v>
      </c>
      <c r="C3" s="200">
        <v>1</v>
      </c>
      <c r="D3" s="200"/>
      <c r="E3" s="200"/>
      <c r="F3" s="166"/>
      <c r="G3" s="166"/>
      <c r="H3" s="166"/>
      <c r="I3" s="166"/>
      <c r="J3" s="166"/>
      <c r="K3" s="166"/>
      <c r="L3" s="166"/>
      <c r="M3" s="166"/>
      <c r="N3" s="166"/>
      <c r="O3" s="166"/>
    </row>
    <row r="4" spans="1:15" ht="15.75">
      <c r="A4" s="200">
        <v>1962</v>
      </c>
      <c r="B4" s="200" t="str">
        <f t="shared" ref="B4:B62" si="0">RIGHT(A4,2)</f>
        <v>62</v>
      </c>
      <c r="C4" s="200">
        <v>1</v>
      </c>
      <c r="D4" s="200"/>
      <c r="E4" s="200"/>
      <c r="F4" s="166"/>
      <c r="G4" s="250" t="s">
        <v>476</v>
      </c>
      <c r="H4" s="166"/>
      <c r="I4" s="166"/>
      <c r="J4" s="166"/>
      <c r="K4" s="166"/>
      <c r="L4" s="166"/>
      <c r="M4" s="166"/>
      <c r="N4" s="166"/>
      <c r="O4" s="166"/>
    </row>
    <row r="5" spans="1:15">
      <c r="A5" s="200">
        <v>1963</v>
      </c>
      <c r="B5" s="200" t="str">
        <f t="shared" si="0"/>
        <v>63</v>
      </c>
      <c r="C5" s="200">
        <v>1</v>
      </c>
      <c r="D5" s="200"/>
      <c r="E5" s="200"/>
      <c r="F5" s="166"/>
      <c r="G5" s="166"/>
      <c r="H5" s="166"/>
      <c r="I5" s="166"/>
      <c r="J5" s="166"/>
      <c r="K5" s="166"/>
      <c r="L5" s="166"/>
      <c r="M5" s="166"/>
      <c r="N5" s="166"/>
      <c r="O5" s="166"/>
    </row>
    <row r="6" spans="1:15">
      <c r="A6" s="200">
        <v>1964</v>
      </c>
      <c r="B6" s="200" t="str">
        <f t="shared" si="0"/>
        <v>64</v>
      </c>
      <c r="C6" s="200">
        <v>3</v>
      </c>
      <c r="D6" s="200"/>
      <c r="E6" s="200"/>
      <c r="F6" s="166"/>
      <c r="G6" s="166"/>
      <c r="H6" s="166"/>
      <c r="I6" s="166"/>
      <c r="J6" s="166"/>
      <c r="K6" s="166"/>
      <c r="L6" s="166"/>
      <c r="M6" s="166"/>
      <c r="N6" s="166"/>
      <c r="O6" s="166"/>
    </row>
    <row r="7" spans="1:15">
      <c r="A7" s="200">
        <v>1965</v>
      </c>
      <c r="B7" s="200" t="str">
        <f t="shared" si="0"/>
        <v>65</v>
      </c>
      <c r="C7" s="200">
        <v>3</v>
      </c>
      <c r="D7" s="200"/>
      <c r="E7" s="200"/>
      <c r="F7" s="166"/>
      <c r="G7" s="166"/>
      <c r="H7" s="166"/>
      <c r="I7" s="166"/>
      <c r="J7" s="166"/>
      <c r="K7" s="166"/>
      <c r="L7" s="166"/>
      <c r="M7" s="166"/>
      <c r="N7" s="166"/>
      <c r="O7" s="166"/>
    </row>
    <row r="8" spans="1:15">
      <c r="A8" s="200">
        <v>1966</v>
      </c>
      <c r="B8" s="200" t="str">
        <f t="shared" si="0"/>
        <v>66</v>
      </c>
      <c r="C8" s="200">
        <v>3</v>
      </c>
      <c r="D8" s="200"/>
      <c r="E8" s="200"/>
      <c r="F8" s="166"/>
      <c r="G8" s="166"/>
      <c r="H8" s="166"/>
      <c r="I8" s="166"/>
      <c r="J8" s="166"/>
      <c r="K8" s="166"/>
      <c r="L8" s="166"/>
      <c r="M8" s="166"/>
      <c r="N8" s="166"/>
      <c r="O8" s="166"/>
    </row>
    <row r="9" spans="1:15">
      <c r="A9" s="200">
        <v>1967</v>
      </c>
      <c r="B9" s="200" t="str">
        <f t="shared" si="0"/>
        <v>67</v>
      </c>
      <c r="C9" s="200">
        <v>3</v>
      </c>
      <c r="D9" s="200"/>
      <c r="E9" s="200"/>
      <c r="F9" s="166"/>
      <c r="G9" s="166"/>
      <c r="H9" s="166"/>
      <c r="I9" s="166"/>
      <c r="J9" s="166"/>
      <c r="K9" s="166"/>
      <c r="L9" s="166"/>
      <c r="M9" s="166"/>
      <c r="N9" s="166"/>
      <c r="O9" s="166"/>
    </row>
    <row r="10" spans="1:15">
      <c r="A10" s="200">
        <v>1968</v>
      </c>
      <c r="B10" s="200" t="str">
        <f t="shared" si="0"/>
        <v>68</v>
      </c>
      <c r="C10" s="200">
        <v>3</v>
      </c>
      <c r="D10" s="200"/>
      <c r="E10" s="200"/>
      <c r="F10" s="166"/>
      <c r="G10" s="166"/>
      <c r="H10" s="166"/>
      <c r="I10" s="166"/>
      <c r="J10" s="166"/>
      <c r="K10" s="166"/>
      <c r="L10" s="166"/>
      <c r="M10" s="166"/>
      <c r="N10" s="166"/>
      <c r="O10" s="166"/>
    </row>
    <row r="11" spans="1:15">
      <c r="A11" s="200">
        <v>1969</v>
      </c>
      <c r="B11" s="200" t="str">
        <f t="shared" si="0"/>
        <v>69</v>
      </c>
      <c r="C11" s="200">
        <v>3</v>
      </c>
      <c r="D11" s="200"/>
      <c r="E11" s="200"/>
      <c r="F11" s="166"/>
      <c r="G11" s="166"/>
      <c r="H11" s="166"/>
      <c r="I11" s="166"/>
      <c r="J11" s="166"/>
      <c r="K11" s="166"/>
      <c r="L11" s="166"/>
      <c r="M11" s="166"/>
      <c r="N11" s="166"/>
      <c r="O11" s="166"/>
    </row>
    <row r="12" spans="1:15">
      <c r="A12" s="200">
        <v>1970</v>
      </c>
      <c r="B12" s="200" t="str">
        <f t="shared" si="0"/>
        <v>70</v>
      </c>
      <c r="C12" s="200">
        <v>4</v>
      </c>
      <c r="D12" s="200"/>
      <c r="E12" s="200"/>
      <c r="F12" s="166"/>
      <c r="G12" s="166"/>
      <c r="H12" s="166"/>
      <c r="I12" s="166"/>
      <c r="J12" s="166"/>
      <c r="K12" s="166"/>
      <c r="L12" s="166"/>
      <c r="M12" s="166"/>
      <c r="N12" s="166"/>
      <c r="O12" s="166"/>
    </row>
    <row r="13" spans="1:15">
      <c r="A13" s="200">
        <v>1971</v>
      </c>
      <c r="B13" s="200" t="str">
        <f t="shared" si="0"/>
        <v>71</v>
      </c>
      <c r="C13" s="200">
        <v>4</v>
      </c>
      <c r="D13" s="200"/>
      <c r="E13" s="200"/>
      <c r="F13" s="166"/>
      <c r="G13" s="166"/>
      <c r="H13" s="166"/>
      <c r="I13" s="166"/>
      <c r="J13" s="166"/>
      <c r="K13" s="166"/>
      <c r="L13" s="166"/>
      <c r="M13" s="166"/>
      <c r="N13" s="166"/>
      <c r="O13" s="166"/>
    </row>
    <row r="14" spans="1:15">
      <c r="A14" s="200">
        <v>1972</v>
      </c>
      <c r="B14" s="200" t="str">
        <f t="shared" si="0"/>
        <v>72</v>
      </c>
      <c r="C14" s="200">
        <v>5</v>
      </c>
      <c r="D14" s="200"/>
      <c r="E14" s="200"/>
      <c r="F14" s="166"/>
      <c r="G14" s="166"/>
      <c r="H14" s="166"/>
      <c r="I14" s="166"/>
      <c r="J14" s="166"/>
      <c r="K14" s="166"/>
      <c r="L14" s="166"/>
      <c r="M14" s="166"/>
      <c r="N14" s="166"/>
      <c r="O14" s="166"/>
    </row>
    <row r="15" spans="1:15">
      <c r="A15" s="200">
        <v>1973</v>
      </c>
      <c r="B15" s="200" t="str">
        <f t="shared" si="0"/>
        <v>73</v>
      </c>
      <c r="C15" s="200">
        <v>5</v>
      </c>
      <c r="D15" s="200"/>
      <c r="E15" s="200"/>
      <c r="F15" s="166"/>
      <c r="G15" s="166"/>
      <c r="H15" s="166"/>
      <c r="I15" s="166"/>
      <c r="J15" s="166"/>
      <c r="K15" s="166"/>
      <c r="L15" s="166"/>
      <c r="M15" s="166"/>
      <c r="N15" s="166"/>
      <c r="O15" s="166"/>
    </row>
    <row r="16" spans="1:15">
      <c r="A16" s="200">
        <v>1974</v>
      </c>
      <c r="B16" s="200" t="str">
        <f t="shared" si="0"/>
        <v>74</v>
      </c>
      <c r="C16" s="200">
        <v>6</v>
      </c>
      <c r="D16" s="200">
        <v>1</v>
      </c>
      <c r="E16" s="200"/>
      <c r="F16" s="166"/>
      <c r="G16" s="166"/>
      <c r="H16" s="166"/>
      <c r="I16" s="166"/>
      <c r="J16" s="166"/>
      <c r="K16" s="166"/>
      <c r="L16" s="166"/>
      <c r="M16" s="166"/>
      <c r="N16" s="166"/>
      <c r="O16" s="166"/>
    </row>
    <row r="17" spans="1:15">
      <c r="A17" s="200">
        <v>1975</v>
      </c>
      <c r="B17" s="200" t="str">
        <f t="shared" si="0"/>
        <v>75</v>
      </c>
      <c r="C17" s="200">
        <v>8</v>
      </c>
      <c r="D17" s="200">
        <v>1</v>
      </c>
      <c r="E17" s="200"/>
      <c r="F17" s="166"/>
      <c r="G17" s="166"/>
      <c r="H17" s="166"/>
      <c r="I17" s="166"/>
      <c r="J17" s="166"/>
      <c r="K17" s="166"/>
      <c r="L17" s="166"/>
      <c r="M17" s="166"/>
      <c r="N17" s="166"/>
      <c r="O17" s="166"/>
    </row>
    <row r="18" spans="1:15">
      <c r="A18" s="200">
        <v>1976</v>
      </c>
      <c r="B18" s="200" t="str">
        <f t="shared" si="0"/>
        <v>76</v>
      </c>
      <c r="C18" s="200">
        <v>8</v>
      </c>
      <c r="D18" s="200">
        <v>1</v>
      </c>
      <c r="E18" s="200"/>
      <c r="F18" s="166"/>
      <c r="G18" s="166"/>
      <c r="H18" s="166"/>
      <c r="I18" s="166"/>
      <c r="J18" s="166"/>
      <c r="K18" s="166"/>
      <c r="L18" s="166"/>
      <c r="M18" s="166"/>
      <c r="N18" s="166"/>
      <c r="O18" s="166"/>
    </row>
    <row r="19" spans="1:15">
      <c r="A19" s="200">
        <v>1977</v>
      </c>
      <c r="B19" s="200" t="str">
        <f t="shared" si="0"/>
        <v>77</v>
      </c>
      <c r="C19" s="200">
        <v>9</v>
      </c>
      <c r="D19" s="200">
        <v>1</v>
      </c>
      <c r="E19" s="200"/>
      <c r="F19" s="166"/>
      <c r="G19" s="166"/>
      <c r="H19" s="166"/>
      <c r="I19" s="166"/>
      <c r="J19" s="166"/>
      <c r="K19" s="166"/>
      <c r="L19" s="166"/>
      <c r="M19" s="166"/>
      <c r="N19" s="166"/>
      <c r="O19" s="166"/>
    </row>
    <row r="20" spans="1:15">
      <c r="A20" s="200">
        <v>1978</v>
      </c>
      <c r="B20" s="200" t="str">
        <f t="shared" si="0"/>
        <v>78</v>
      </c>
      <c r="C20" s="200">
        <v>9</v>
      </c>
      <c r="D20" s="200">
        <v>1</v>
      </c>
      <c r="E20" s="200"/>
      <c r="F20" s="166"/>
      <c r="G20" s="166"/>
      <c r="H20" s="166"/>
      <c r="I20" s="166"/>
      <c r="J20" s="166"/>
      <c r="K20" s="166"/>
      <c r="L20" s="166"/>
      <c r="M20" s="166"/>
      <c r="N20" s="166"/>
      <c r="O20" s="166"/>
    </row>
    <row r="21" spans="1:15">
      <c r="A21" s="200">
        <v>1979</v>
      </c>
      <c r="B21" s="200" t="str">
        <f t="shared" si="0"/>
        <v>79</v>
      </c>
      <c r="C21" s="200">
        <v>9</v>
      </c>
      <c r="D21" s="200">
        <v>1</v>
      </c>
      <c r="E21" s="200"/>
      <c r="F21" s="166"/>
      <c r="G21" s="166"/>
      <c r="H21" s="166"/>
      <c r="I21" s="166"/>
      <c r="J21" s="166"/>
      <c r="K21" s="166"/>
      <c r="L21" s="166"/>
      <c r="M21" s="166"/>
      <c r="N21" s="166"/>
      <c r="O21" s="166"/>
    </row>
    <row r="22" spans="1:15">
      <c r="A22" s="200">
        <v>1980</v>
      </c>
      <c r="B22" s="200" t="str">
        <f t="shared" si="0"/>
        <v>80</v>
      </c>
      <c r="C22" s="200">
        <v>11</v>
      </c>
      <c r="D22" s="200">
        <v>2</v>
      </c>
      <c r="E22" s="200"/>
      <c r="F22" s="166"/>
      <c r="G22" s="166"/>
      <c r="H22" s="166"/>
      <c r="I22" s="166"/>
      <c r="J22" s="166"/>
      <c r="K22" s="166"/>
      <c r="L22" s="166"/>
      <c r="M22" s="166"/>
      <c r="N22" s="166"/>
      <c r="O22" s="166"/>
    </row>
    <row r="23" spans="1:15">
      <c r="A23" s="200">
        <v>1981</v>
      </c>
      <c r="B23" s="200" t="str">
        <f t="shared" si="0"/>
        <v>81</v>
      </c>
      <c r="C23" s="200">
        <v>11</v>
      </c>
      <c r="D23" s="200">
        <v>2</v>
      </c>
      <c r="E23" s="200"/>
      <c r="F23" s="166"/>
      <c r="G23" s="166"/>
      <c r="H23" s="166"/>
      <c r="I23" s="166"/>
      <c r="J23" s="166"/>
      <c r="K23" s="166"/>
      <c r="L23" s="166"/>
      <c r="M23" s="166"/>
      <c r="N23" s="166"/>
      <c r="O23" s="166"/>
    </row>
    <row r="24" spans="1:15">
      <c r="A24" s="200">
        <v>1982</v>
      </c>
      <c r="B24" s="200" t="str">
        <f t="shared" si="0"/>
        <v>82</v>
      </c>
      <c r="C24" s="200">
        <v>12</v>
      </c>
      <c r="D24" s="200">
        <v>2</v>
      </c>
      <c r="E24" s="200"/>
      <c r="F24" s="166"/>
      <c r="G24" s="166"/>
      <c r="H24" s="166"/>
      <c r="I24" s="166"/>
      <c r="J24" s="166"/>
      <c r="K24" s="166"/>
      <c r="L24" s="166"/>
      <c r="M24" s="166"/>
      <c r="N24" s="166"/>
      <c r="O24" s="166"/>
    </row>
    <row r="25" spans="1:15">
      <c r="A25" s="200">
        <v>1983</v>
      </c>
      <c r="B25" s="200" t="str">
        <f t="shared" si="0"/>
        <v>83</v>
      </c>
      <c r="C25" s="200">
        <v>14</v>
      </c>
      <c r="D25" s="200">
        <v>2</v>
      </c>
      <c r="E25" s="200"/>
      <c r="F25" s="166"/>
      <c r="G25" s="166"/>
      <c r="H25" s="166"/>
      <c r="I25" s="166"/>
      <c r="J25" s="166"/>
      <c r="K25" s="166"/>
      <c r="L25" s="166"/>
      <c r="M25" s="166"/>
      <c r="N25" s="166"/>
      <c r="O25" s="166"/>
    </row>
    <row r="26" spans="1:15">
      <c r="A26" s="200">
        <v>1984</v>
      </c>
      <c r="B26" s="200" t="str">
        <f t="shared" si="0"/>
        <v>84</v>
      </c>
      <c r="C26" s="200">
        <v>15</v>
      </c>
      <c r="D26" s="200">
        <v>2</v>
      </c>
      <c r="E26" s="200"/>
      <c r="F26" s="166"/>
      <c r="G26" s="166"/>
      <c r="H26" s="166"/>
      <c r="I26" s="166"/>
      <c r="J26" s="166"/>
      <c r="K26" s="166"/>
      <c r="L26" s="166"/>
      <c r="M26" s="166"/>
      <c r="N26" s="166"/>
      <c r="O26" s="166"/>
    </row>
    <row r="27" spans="1:15">
      <c r="A27" s="200">
        <v>1985</v>
      </c>
      <c r="B27" s="200" t="str">
        <f t="shared" si="0"/>
        <v>85</v>
      </c>
      <c r="C27" s="200">
        <v>16</v>
      </c>
      <c r="D27" s="200">
        <v>2</v>
      </c>
      <c r="E27" s="200"/>
      <c r="F27" s="166"/>
      <c r="G27" s="166"/>
      <c r="H27" s="166"/>
      <c r="I27" s="166"/>
      <c r="J27" s="166"/>
      <c r="K27" s="166"/>
      <c r="L27" s="166"/>
      <c r="M27" s="166"/>
      <c r="N27" s="166"/>
      <c r="O27" s="166"/>
    </row>
    <row r="28" spans="1:15">
      <c r="A28" s="200">
        <v>1986</v>
      </c>
      <c r="B28" s="200" t="str">
        <f t="shared" si="0"/>
        <v>86</v>
      </c>
      <c r="C28" s="200">
        <v>19</v>
      </c>
      <c r="D28" s="200">
        <v>2</v>
      </c>
      <c r="E28" s="200"/>
    </row>
    <row r="29" spans="1:15">
      <c r="A29" s="200">
        <v>1987</v>
      </c>
      <c r="B29" s="200" t="str">
        <f t="shared" si="0"/>
        <v>87</v>
      </c>
      <c r="C29" s="200">
        <v>19</v>
      </c>
      <c r="D29" s="200">
        <v>2</v>
      </c>
      <c r="E29" s="200"/>
    </row>
    <row r="30" spans="1:15">
      <c r="A30" s="200">
        <v>1988</v>
      </c>
      <c r="B30" s="200" t="str">
        <f t="shared" si="0"/>
        <v>88</v>
      </c>
      <c r="C30" s="200">
        <v>22</v>
      </c>
      <c r="D30" s="200">
        <v>4</v>
      </c>
      <c r="E30" s="200"/>
    </row>
    <row r="31" spans="1:15">
      <c r="A31" s="200">
        <v>1989</v>
      </c>
      <c r="B31" s="200" t="str">
        <f t="shared" si="0"/>
        <v>89</v>
      </c>
      <c r="C31" s="200">
        <v>22</v>
      </c>
      <c r="D31" s="200">
        <v>4</v>
      </c>
      <c r="E31" s="200"/>
    </row>
    <row r="32" spans="1:15">
      <c r="A32" s="200">
        <v>1990</v>
      </c>
      <c r="B32" s="200" t="str">
        <f t="shared" si="0"/>
        <v>90</v>
      </c>
      <c r="C32" s="200">
        <v>25</v>
      </c>
      <c r="D32" s="200">
        <v>6</v>
      </c>
      <c r="E32" s="200"/>
    </row>
    <row r="33" spans="1:5">
      <c r="A33" s="200">
        <v>1991</v>
      </c>
      <c r="B33" s="200" t="str">
        <f t="shared" si="0"/>
        <v>91</v>
      </c>
      <c r="C33" s="200">
        <v>33</v>
      </c>
      <c r="D33" s="200">
        <v>6</v>
      </c>
      <c r="E33" s="200"/>
    </row>
    <row r="34" spans="1:5">
      <c r="A34" s="200">
        <v>1992</v>
      </c>
      <c r="B34" s="200" t="str">
        <f t="shared" si="0"/>
        <v>92</v>
      </c>
      <c r="C34" s="200">
        <v>44</v>
      </c>
      <c r="D34" s="200">
        <v>8</v>
      </c>
      <c r="E34" s="200"/>
    </row>
    <row r="35" spans="1:5">
      <c r="A35" s="200">
        <v>1993</v>
      </c>
      <c r="B35" s="200" t="str">
        <f t="shared" si="0"/>
        <v>93</v>
      </c>
      <c r="C35" s="200">
        <v>51</v>
      </c>
      <c r="D35" s="200">
        <v>10</v>
      </c>
      <c r="E35" s="200"/>
    </row>
    <row r="36" spans="1:5">
      <c r="A36" s="200">
        <v>1994</v>
      </c>
      <c r="B36" s="200" t="str">
        <f t="shared" si="0"/>
        <v>94</v>
      </c>
      <c r="C36" s="200">
        <v>56</v>
      </c>
      <c r="D36" s="200">
        <v>13</v>
      </c>
      <c r="E36" s="200"/>
    </row>
    <row r="37" spans="1:5">
      <c r="A37" s="200">
        <v>1995</v>
      </c>
      <c r="B37" s="200" t="str">
        <f t="shared" si="0"/>
        <v>95</v>
      </c>
      <c r="C37" s="200">
        <v>61</v>
      </c>
      <c r="D37" s="200">
        <v>20</v>
      </c>
      <c r="E37" s="200"/>
    </row>
    <row r="38" spans="1:5">
      <c r="A38" s="200">
        <v>1996</v>
      </c>
      <c r="B38" s="200" t="str">
        <f t="shared" si="0"/>
        <v>96</v>
      </c>
      <c r="C38" s="200">
        <v>63</v>
      </c>
      <c r="D38" s="200">
        <v>26</v>
      </c>
      <c r="E38" s="200"/>
    </row>
    <row r="39" spans="1:5">
      <c r="A39" s="200">
        <v>1997</v>
      </c>
      <c r="B39" s="200" t="str">
        <f t="shared" si="0"/>
        <v>97</v>
      </c>
      <c r="C39" s="200">
        <v>66</v>
      </c>
      <c r="D39" s="200">
        <v>32</v>
      </c>
      <c r="E39" s="200">
        <v>1</v>
      </c>
    </row>
    <row r="40" spans="1:5">
      <c r="A40" s="200">
        <v>1998</v>
      </c>
      <c r="B40" s="200" t="str">
        <f t="shared" si="0"/>
        <v>98</v>
      </c>
      <c r="C40" s="200">
        <v>74</v>
      </c>
      <c r="D40" s="200">
        <v>40</v>
      </c>
      <c r="E40" s="200">
        <v>2</v>
      </c>
    </row>
    <row r="41" spans="1:5">
      <c r="A41" s="200">
        <v>1999</v>
      </c>
      <c r="B41" s="200" t="str">
        <f t="shared" si="0"/>
        <v>99</v>
      </c>
      <c r="C41" s="200">
        <v>80</v>
      </c>
      <c r="D41" s="200">
        <v>46</v>
      </c>
      <c r="E41" s="200">
        <v>3</v>
      </c>
    </row>
    <row r="42" spans="1:5">
      <c r="A42" s="200">
        <v>2000</v>
      </c>
      <c r="B42" s="200" t="str">
        <f t="shared" si="0"/>
        <v>00</v>
      </c>
      <c r="C42" s="200">
        <v>84</v>
      </c>
      <c r="D42" s="200">
        <v>51</v>
      </c>
      <c r="E42" s="200">
        <v>4</v>
      </c>
    </row>
    <row r="43" spans="1:5">
      <c r="A43" s="200">
        <v>2001</v>
      </c>
      <c r="B43" s="200" t="str">
        <f t="shared" si="0"/>
        <v>01</v>
      </c>
      <c r="C43" s="200">
        <v>89</v>
      </c>
      <c r="D43" s="200">
        <v>59</v>
      </c>
      <c r="E43" s="200">
        <v>7</v>
      </c>
    </row>
    <row r="44" spans="1:5">
      <c r="A44" s="200">
        <v>2002</v>
      </c>
      <c r="B44" s="200" t="str">
        <f t="shared" si="0"/>
        <v>02</v>
      </c>
      <c r="C44" s="200">
        <v>92</v>
      </c>
      <c r="D44" s="200">
        <v>64</v>
      </c>
      <c r="E44" s="200">
        <v>7</v>
      </c>
    </row>
    <row r="45" spans="1:5">
      <c r="A45" s="200">
        <v>2003</v>
      </c>
      <c r="B45" s="200" t="str">
        <f t="shared" si="0"/>
        <v>03</v>
      </c>
      <c r="C45" s="200">
        <v>95</v>
      </c>
      <c r="D45" s="200">
        <v>68</v>
      </c>
      <c r="E45" s="200">
        <v>8</v>
      </c>
    </row>
    <row r="46" spans="1:5">
      <c r="A46" s="200">
        <v>2004</v>
      </c>
      <c r="B46" s="200" t="str">
        <f t="shared" si="0"/>
        <v>04</v>
      </c>
      <c r="C46" s="200">
        <v>97</v>
      </c>
      <c r="D46" s="200">
        <v>77</v>
      </c>
      <c r="E46" s="200">
        <v>12</v>
      </c>
    </row>
    <row r="47" spans="1:5">
      <c r="A47" s="200">
        <v>2005</v>
      </c>
      <c r="B47" s="200" t="str">
        <f t="shared" si="0"/>
        <v>05</v>
      </c>
      <c r="C47" s="200">
        <v>100</v>
      </c>
      <c r="D47" s="200">
        <v>79</v>
      </c>
      <c r="E47" s="200">
        <v>16</v>
      </c>
    </row>
    <row r="48" spans="1:5">
      <c r="A48" s="200">
        <v>2006</v>
      </c>
      <c r="B48" s="200" t="str">
        <f t="shared" si="0"/>
        <v>06</v>
      </c>
      <c r="C48" s="200">
        <v>103</v>
      </c>
      <c r="D48" s="200">
        <v>85</v>
      </c>
      <c r="E48" s="200">
        <v>22</v>
      </c>
    </row>
    <row r="49" spans="1:5">
      <c r="A49" s="200">
        <v>2007</v>
      </c>
      <c r="B49" s="200" t="str">
        <f t="shared" si="0"/>
        <v>07</v>
      </c>
      <c r="C49" s="200">
        <v>106</v>
      </c>
      <c r="D49" s="200">
        <v>87</v>
      </c>
      <c r="E49" s="200">
        <v>27</v>
      </c>
    </row>
    <row r="50" spans="1:5">
      <c r="A50" s="200">
        <v>2008</v>
      </c>
      <c r="B50" s="200" t="str">
        <f t="shared" si="0"/>
        <v>08</v>
      </c>
      <c r="C50" s="200">
        <v>107</v>
      </c>
      <c r="D50" s="200">
        <v>90</v>
      </c>
      <c r="E50" s="200">
        <v>32</v>
      </c>
    </row>
    <row r="51" spans="1:5">
      <c r="A51" s="200">
        <v>2009</v>
      </c>
      <c r="B51" s="200" t="str">
        <f t="shared" si="0"/>
        <v>09</v>
      </c>
      <c r="C51" s="200">
        <v>110</v>
      </c>
      <c r="D51" s="200">
        <v>91</v>
      </c>
      <c r="E51" s="200">
        <v>39</v>
      </c>
    </row>
    <row r="52" spans="1:5">
      <c r="A52" s="200">
        <v>2010</v>
      </c>
      <c r="B52" s="200" t="str">
        <f t="shared" si="0"/>
        <v>10</v>
      </c>
      <c r="C52" s="200">
        <v>113</v>
      </c>
      <c r="D52" s="200">
        <v>94</v>
      </c>
      <c r="E52" s="200">
        <v>46</v>
      </c>
    </row>
    <row r="53" spans="1:5">
      <c r="A53" s="200">
        <v>2011</v>
      </c>
      <c r="B53" s="200" t="str">
        <f t="shared" si="0"/>
        <v>11</v>
      </c>
      <c r="C53" s="200">
        <v>114</v>
      </c>
      <c r="D53" s="200">
        <v>95</v>
      </c>
      <c r="E53" s="200">
        <v>55</v>
      </c>
    </row>
    <row r="54" spans="1:5">
      <c r="A54" s="200">
        <v>2012</v>
      </c>
      <c r="B54" s="200" t="str">
        <f t="shared" si="0"/>
        <v>12</v>
      </c>
      <c r="C54" s="200">
        <v>118</v>
      </c>
      <c r="D54" s="200">
        <v>98</v>
      </c>
      <c r="E54" s="200">
        <v>64</v>
      </c>
    </row>
    <row r="55" spans="1:5">
      <c r="A55" s="200">
        <v>2013</v>
      </c>
      <c r="B55" s="200" t="str">
        <f t="shared" si="0"/>
        <v>13</v>
      </c>
      <c r="C55" s="200">
        <v>119</v>
      </c>
      <c r="D55" s="200">
        <v>100</v>
      </c>
      <c r="E55" s="200">
        <v>81</v>
      </c>
    </row>
    <row r="56" spans="1:5">
      <c r="A56" s="200">
        <v>2014</v>
      </c>
      <c r="B56" s="200" t="str">
        <f t="shared" si="0"/>
        <v>14</v>
      </c>
      <c r="C56" s="200">
        <v>120</v>
      </c>
      <c r="D56" s="200">
        <v>103</v>
      </c>
      <c r="E56" s="200">
        <v>86</v>
      </c>
    </row>
    <row r="57" spans="1:5">
      <c r="A57" s="200">
        <v>2015</v>
      </c>
      <c r="B57" s="200" t="str">
        <f t="shared" si="0"/>
        <v>15</v>
      </c>
      <c r="C57" s="200">
        <v>121</v>
      </c>
      <c r="D57" s="200">
        <v>103</v>
      </c>
      <c r="E57" s="200">
        <v>87</v>
      </c>
    </row>
    <row r="58" spans="1:5">
      <c r="A58" s="200">
        <v>2016</v>
      </c>
      <c r="B58" s="200" t="str">
        <f t="shared" si="0"/>
        <v>16</v>
      </c>
      <c r="C58" s="200">
        <v>121</v>
      </c>
      <c r="D58" s="200">
        <v>103</v>
      </c>
      <c r="E58" s="200"/>
    </row>
    <row r="59" spans="1:5">
      <c r="A59" s="200">
        <v>2017</v>
      </c>
      <c r="B59" s="200" t="str">
        <f t="shared" si="0"/>
        <v>17</v>
      </c>
      <c r="C59" s="200">
        <v>123</v>
      </c>
      <c r="D59" s="200">
        <v>104</v>
      </c>
      <c r="E59" s="200"/>
    </row>
    <row r="60" spans="1:5">
      <c r="A60" s="200">
        <v>2018</v>
      </c>
      <c r="B60" s="200" t="str">
        <f t="shared" si="0"/>
        <v>18</v>
      </c>
      <c r="C60" s="200">
        <v>126</v>
      </c>
      <c r="D60" s="200">
        <v>105</v>
      </c>
      <c r="E60" s="200"/>
    </row>
    <row r="61" spans="1:5">
      <c r="A61" s="200">
        <v>2019</v>
      </c>
      <c r="B61" s="200" t="str">
        <f t="shared" si="0"/>
        <v>19</v>
      </c>
      <c r="C61" s="200">
        <v>128</v>
      </c>
      <c r="D61" s="200">
        <v>106</v>
      </c>
      <c r="E61" s="200"/>
    </row>
    <row r="62" spans="1:5">
      <c r="A62" s="200">
        <v>2020</v>
      </c>
      <c r="B62" s="200" t="str">
        <f t="shared" si="0"/>
        <v>20</v>
      </c>
      <c r="C62" s="200"/>
      <c r="D62" s="200">
        <v>108</v>
      </c>
      <c r="E62" s="200"/>
    </row>
  </sheetData>
  <pageMargins left="0.75" right="0.75" top="1" bottom="1" header="0.5" footer="0.5"/>
  <pageSetup orientation="portrait" horizontalDpi="90" verticalDpi="9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61C5D-C9D3-40BD-AB0F-1D96F76A633E}">
  <dimension ref="A1:V16"/>
  <sheetViews>
    <sheetView workbookViewId="0">
      <selection activeCell="E32" sqref="E32"/>
    </sheetView>
  </sheetViews>
  <sheetFormatPr defaultRowHeight="12.75"/>
  <sheetData>
    <row r="1" spans="1:22" ht="15">
      <c r="A1" s="165"/>
      <c r="B1" s="252" t="s">
        <v>7</v>
      </c>
      <c r="C1" s="165"/>
      <c r="D1" s="165"/>
      <c r="E1" s="165"/>
      <c r="F1" s="165"/>
      <c r="G1" s="165"/>
      <c r="H1" s="165"/>
      <c r="I1" s="165"/>
      <c r="J1" s="165"/>
      <c r="K1" s="165"/>
      <c r="L1" s="165"/>
      <c r="M1" s="165"/>
      <c r="N1" s="165"/>
      <c r="O1" s="165"/>
      <c r="P1" s="165"/>
      <c r="Q1" s="165"/>
      <c r="R1" s="165"/>
      <c r="S1" s="165"/>
      <c r="T1" s="165"/>
      <c r="U1" s="165"/>
      <c r="V1" s="165"/>
    </row>
    <row r="2" spans="1:22">
      <c r="A2" s="165"/>
      <c r="B2" s="253" t="s">
        <v>477</v>
      </c>
      <c r="C2" s="165"/>
      <c r="D2" s="165"/>
      <c r="E2" s="165"/>
      <c r="F2" s="165"/>
      <c r="G2" s="165"/>
      <c r="H2" s="165"/>
      <c r="I2" s="165"/>
      <c r="J2" s="165"/>
      <c r="K2" s="165"/>
      <c r="L2" s="165"/>
      <c r="M2" s="165"/>
      <c r="N2" s="165"/>
      <c r="O2" s="165"/>
      <c r="P2" s="165"/>
      <c r="Q2" s="165"/>
      <c r="R2" s="165"/>
      <c r="S2" s="165"/>
      <c r="T2" s="165"/>
      <c r="U2" s="165"/>
      <c r="V2" s="165"/>
    </row>
    <row r="3" spans="1:22" ht="13.5" thickBot="1">
      <c r="A3" s="165"/>
      <c r="B3" s="165"/>
      <c r="C3" s="165"/>
      <c r="D3" s="165"/>
      <c r="E3" s="165"/>
      <c r="F3" s="165"/>
      <c r="G3" s="165"/>
      <c r="H3" s="165"/>
      <c r="I3" s="165"/>
      <c r="J3" s="165"/>
      <c r="K3" s="165"/>
      <c r="L3" s="165"/>
      <c r="M3" s="165"/>
      <c r="N3" s="165"/>
      <c r="O3" s="165"/>
      <c r="P3" s="165"/>
      <c r="Q3" s="165"/>
      <c r="R3" s="165"/>
      <c r="S3" s="165"/>
      <c r="T3" s="165"/>
      <c r="U3" s="165"/>
      <c r="V3" s="165"/>
    </row>
    <row r="4" spans="1:22" ht="13.5" thickTop="1">
      <c r="A4" s="165"/>
      <c r="B4" s="595" t="s">
        <v>478</v>
      </c>
      <c r="C4" s="598" t="s">
        <v>479</v>
      </c>
      <c r="D4" s="598"/>
      <c r="E4" s="598"/>
      <c r="F4" s="599"/>
      <c r="G4" s="598" t="s">
        <v>480</v>
      </c>
      <c r="H4" s="598"/>
      <c r="I4" s="598"/>
      <c r="J4" s="598"/>
      <c r="K4" s="599"/>
      <c r="L4" s="600" t="s">
        <v>481</v>
      </c>
      <c r="M4" s="598"/>
      <c r="N4" s="598"/>
      <c r="O4" s="598"/>
      <c r="P4" s="599"/>
      <c r="Q4" s="598" t="s">
        <v>90</v>
      </c>
      <c r="R4" s="598"/>
      <c r="S4" s="598"/>
      <c r="T4" s="598"/>
      <c r="U4" s="598"/>
      <c r="V4" s="165"/>
    </row>
    <row r="5" spans="1:22">
      <c r="A5" s="165"/>
      <c r="B5" s="596"/>
      <c r="C5" s="601" t="s">
        <v>482</v>
      </c>
      <c r="D5" s="601"/>
      <c r="E5" s="601"/>
      <c r="F5" s="602"/>
      <c r="G5" s="601" t="s">
        <v>483</v>
      </c>
      <c r="H5" s="601"/>
      <c r="I5" s="601"/>
      <c r="J5" s="601"/>
      <c r="K5" s="602"/>
      <c r="L5" s="603" t="s">
        <v>483</v>
      </c>
      <c r="M5" s="601"/>
      <c r="N5" s="601"/>
      <c r="O5" s="601"/>
      <c r="P5" s="602"/>
      <c r="Q5" s="601" t="s">
        <v>483</v>
      </c>
      <c r="R5" s="601"/>
      <c r="S5" s="601"/>
      <c r="T5" s="601"/>
      <c r="U5" s="601"/>
      <c r="V5" s="165"/>
    </row>
    <row r="6" spans="1:22">
      <c r="A6" s="165"/>
      <c r="B6" s="597"/>
      <c r="C6" s="254" t="s">
        <v>484</v>
      </c>
      <c r="D6" s="254" t="s">
        <v>485</v>
      </c>
      <c r="E6" s="254" t="s">
        <v>486</v>
      </c>
      <c r="F6" s="255" t="s">
        <v>487</v>
      </c>
      <c r="G6" s="254" t="s">
        <v>484</v>
      </c>
      <c r="H6" s="254" t="s">
        <v>485</v>
      </c>
      <c r="I6" s="254" t="s">
        <v>486</v>
      </c>
      <c r="J6" s="254" t="s">
        <v>488</v>
      </c>
      <c r="K6" s="255" t="s">
        <v>487</v>
      </c>
      <c r="L6" s="256" t="s">
        <v>484</v>
      </c>
      <c r="M6" s="254" t="s">
        <v>485</v>
      </c>
      <c r="N6" s="254" t="s">
        <v>486</v>
      </c>
      <c r="O6" s="254" t="s">
        <v>488</v>
      </c>
      <c r="P6" s="255" t="s">
        <v>487</v>
      </c>
      <c r="Q6" s="254" t="s">
        <v>484</v>
      </c>
      <c r="R6" s="254" t="s">
        <v>485</v>
      </c>
      <c r="S6" s="254" t="s">
        <v>486</v>
      </c>
      <c r="T6" s="254" t="s">
        <v>488</v>
      </c>
      <c r="U6" s="254" t="s">
        <v>487</v>
      </c>
      <c r="V6" s="165"/>
    </row>
    <row r="7" spans="1:22">
      <c r="A7" s="165"/>
      <c r="B7" s="257" t="s">
        <v>489</v>
      </c>
      <c r="C7" s="258">
        <v>-2.6</v>
      </c>
      <c r="D7" s="258">
        <v>-2.9</v>
      </c>
      <c r="E7" s="258">
        <v>-2.4</v>
      </c>
      <c r="F7" s="259">
        <v>-2.9</v>
      </c>
      <c r="G7" s="258">
        <v>9</v>
      </c>
      <c r="H7" s="258">
        <v>-8.4</v>
      </c>
      <c r="I7" s="258">
        <v>-8.1</v>
      </c>
      <c r="J7" s="258">
        <v>-7.4</v>
      </c>
      <c r="K7" s="259">
        <v>-7.7</v>
      </c>
      <c r="L7" s="260">
        <v>-6.2</v>
      </c>
      <c r="M7" s="258">
        <v>-6.1</v>
      </c>
      <c r="N7" s="258">
        <v>-2.8</v>
      </c>
      <c r="O7" s="258">
        <v>0.1</v>
      </c>
      <c r="P7" s="259">
        <v>1.6</v>
      </c>
      <c r="Q7" s="258">
        <v>-5.0999999999999996</v>
      </c>
      <c r="R7" s="258">
        <v>-3.1</v>
      </c>
      <c r="S7" s="258">
        <v>0.2</v>
      </c>
      <c r="T7" s="258">
        <v>0.9</v>
      </c>
      <c r="U7" s="258">
        <v>6</v>
      </c>
      <c r="V7" s="165"/>
    </row>
    <row r="8" spans="1:22">
      <c r="A8" s="165"/>
      <c r="B8" s="261" t="s">
        <v>490</v>
      </c>
      <c r="C8" s="258">
        <v>-0.9</v>
      </c>
      <c r="D8" s="258">
        <v>-0.3</v>
      </c>
      <c r="E8" s="258">
        <v>-1</v>
      </c>
      <c r="F8" s="259">
        <v>-2</v>
      </c>
      <c r="G8" s="258">
        <v>-3.4</v>
      </c>
      <c r="H8" s="258">
        <v>-8</v>
      </c>
      <c r="I8" s="258">
        <v>-7.2</v>
      </c>
      <c r="J8" s="258">
        <v>-7.1</v>
      </c>
      <c r="K8" s="259">
        <v>-5</v>
      </c>
      <c r="L8" s="260">
        <v>-5.8</v>
      </c>
      <c r="M8" s="258">
        <v>-5.5</v>
      </c>
      <c r="N8" s="258">
        <v>-3.7</v>
      </c>
      <c r="O8" s="258">
        <v>-1.7</v>
      </c>
      <c r="P8" s="259">
        <v>-0.7</v>
      </c>
      <c r="Q8" s="258">
        <v>-4.3</v>
      </c>
      <c r="R8" s="258">
        <v>-3</v>
      </c>
      <c r="S8" s="258">
        <v>-1.2</v>
      </c>
      <c r="T8" s="258">
        <v>0.1</v>
      </c>
      <c r="U8" s="258">
        <v>5</v>
      </c>
      <c r="V8" s="165"/>
    </row>
    <row r="9" spans="1:22">
      <c r="A9" s="165"/>
      <c r="B9" s="261" t="s">
        <v>491</v>
      </c>
      <c r="C9" s="258">
        <v>-3.5</v>
      </c>
      <c r="D9" s="258">
        <v>-3.5</v>
      </c>
      <c r="E9" s="258">
        <v>-3.9</v>
      </c>
      <c r="F9" s="259">
        <v>-4.4000000000000004</v>
      </c>
      <c r="G9" s="258">
        <v>-0.7</v>
      </c>
      <c r="H9" s="258">
        <v>-8.5</v>
      </c>
      <c r="I9" s="258">
        <v>-8.1999999999999993</v>
      </c>
      <c r="J9" s="258">
        <v>-7.5</v>
      </c>
      <c r="K9" s="259">
        <v>-5.7</v>
      </c>
      <c r="L9" s="260">
        <v>-3.3</v>
      </c>
      <c r="M9" s="258">
        <v>-6</v>
      </c>
      <c r="N9" s="258">
        <v>-6.6</v>
      </c>
      <c r="O9" s="258">
        <v>-5.3</v>
      </c>
      <c r="P9" s="259">
        <v>-4.9000000000000004</v>
      </c>
      <c r="Q9" s="258">
        <v>-5.2</v>
      </c>
      <c r="R9" s="258">
        <v>-4.0999999999999996</v>
      </c>
      <c r="S9" s="258">
        <v>-3.7</v>
      </c>
      <c r="T9" s="258">
        <v>-3.8</v>
      </c>
      <c r="U9" s="258">
        <v>-2.9</v>
      </c>
      <c r="V9" s="165"/>
    </row>
    <row r="10" spans="1:22">
      <c r="A10" s="165"/>
      <c r="B10" s="261" t="s">
        <v>492</v>
      </c>
      <c r="C10" s="258">
        <v>-8.3000000000000007</v>
      </c>
      <c r="D10" s="258">
        <v>-6.2</v>
      </c>
      <c r="E10" s="258">
        <v>-6.9</v>
      </c>
      <c r="F10" s="259">
        <v>-6.8</v>
      </c>
      <c r="G10" s="258">
        <v>-10.1</v>
      </c>
      <c r="H10" s="258">
        <v>-7.6</v>
      </c>
      <c r="I10" s="258">
        <v>-8.1</v>
      </c>
      <c r="J10" s="258">
        <v>-7.6</v>
      </c>
      <c r="K10" s="259">
        <v>-6.2</v>
      </c>
      <c r="L10" s="260">
        <v>-10.4</v>
      </c>
      <c r="M10" s="258">
        <v>-9.3000000000000007</v>
      </c>
      <c r="N10" s="258">
        <v>-8.6999999999999993</v>
      </c>
      <c r="O10" s="258">
        <v>-9.3000000000000007</v>
      </c>
      <c r="P10" s="259">
        <v>-12.9</v>
      </c>
      <c r="Q10" s="258">
        <v>-7.8</v>
      </c>
      <c r="R10" s="258">
        <v>-6.9</v>
      </c>
      <c r="S10" s="258">
        <v>-7.3</v>
      </c>
      <c r="T10" s="258">
        <v>-7.1</v>
      </c>
      <c r="U10" s="258">
        <v>-8.9</v>
      </c>
      <c r="V10" s="165"/>
    </row>
    <row r="11" spans="1:22" ht="13.5" thickBot="1">
      <c r="A11" s="165"/>
      <c r="B11" s="262" t="s">
        <v>493</v>
      </c>
      <c r="C11" s="263">
        <v>-12.7</v>
      </c>
      <c r="D11" s="263">
        <v>-9.6</v>
      </c>
      <c r="E11" s="263">
        <v>-9.8000000000000007</v>
      </c>
      <c r="F11" s="264">
        <v>-9.6999999999999993</v>
      </c>
      <c r="G11" s="265">
        <v>-11.3</v>
      </c>
      <c r="H11" s="263">
        <v>-13</v>
      </c>
      <c r="I11" s="263">
        <v>-9.1</v>
      </c>
      <c r="J11" s="263">
        <v>-8.4</v>
      </c>
      <c r="K11" s="264">
        <v>-7.8</v>
      </c>
      <c r="L11" s="265">
        <v>-17.3</v>
      </c>
      <c r="M11" s="263">
        <v>-16.899999999999999</v>
      </c>
      <c r="N11" s="263">
        <v>-18.2</v>
      </c>
      <c r="O11" s="263">
        <v>-18.2</v>
      </c>
      <c r="P11" s="264">
        <v>-27</v>
      </c>
      <c r="Q11" s="263">
        <v>-11.2</v>
      </c>
      <c r="R11" s="263">
        <v>-10.4</v>
      </c>
      <c r="S11" s="263">
        <v>-10.4</v>
      </c>
      <c r="T11" s="263">
        <v>-11.2</v>
      </c>
      <c r="U11" s="263">
        <v>-18.5</v>
      </c>
      <c r="V11" s="165"/>
    </row>
    <row r="12" spans="1:22" ht="13.5" thickTop="1">
      <c r="A12" s="165"/>
      <c r="B12" s="165"/>
      <c r="C12" s="165"/>
      <c r="D12" s="165"/>
      <c r="E12" s="165"/>
      <c r="F12" s="165"/>
      <c r="G12" s="165"/>
      <c r="H12" s="165"/>
      <c r="I12" s="165"/>
      <c r="J12" s="165"/>
      <c r="K12" s="165"/>
      <c r="L12" s="165"/>
      <c r="M12" s="165"/>
      <c r="N12" s="165"/>
      <c r="O12" s="165"/>
      <c r="P12" s="165"/>
      <c r="Q12" s="165"/>
      <c r="R12" s="165"/>
      <c r="S12" s="165"/>
      <c r="T12" s="165"/>
      <c r="U12" s="165"/>
      <c r="V12" s="165"/>
    </row>
    <row r="13" spans="1:22">
      <c r="A13" s="165"/>
      <c r="B13" s="165" t="s">
        <v>494</v>
      </c>
      <c r="C13" s="165"/>
      <c r="D13" s="165"/>
      <c r="E13" s="165"/>
      <c r="F13" s="165"/>
      <c r="G13" s="165"/>
      <c r="H13" s="165"/>
      <c r="I13" s="165"/>
      <c r="J13" s="165"/>
      <c r="K13" s="165"/>
      <c r="L13" s="165"/>
      <c r="M13" s="165"/>
      <c r="N13" s="165"/>
      <c r="O13" s="165"/>
      <c r="P13" s="165"/>
      <c r="Q13" s="165"/>
      <c r="R13" s="165"/>
      <c r="S13" s="165"/>
      <c r="T13" s="165"/>
      <c r="U13" s="165"/>
      <c r="V13" s="165"/>
    </row>
    <row r="14" spans="1:22">
      <c r="A14" s="165"/>
      <c r="B14" s="165" t="s">
        <v>495</v>
      </c>
      <c r="C14" s="165"/>
      <c r="D14" s="165"/>
      <c r="E14" s="165"/>
      <c r="F14" s="165"/>
      <c r="G14" s="165"/>
      <c r="H14" s="165"/>
      <c r="I14" s="165"/>
      <c r="J14" s="165"/>
      <c r="K14" s="165"/>
      <c r="L14" s="165"/>
      <c r="M14" s="165"/>
      <c r="N14" s="165"/>
      <c r="O14" s="165"/>
      <c r="P14" s="165"/>
      <c r="Q14" s="165"/>
      <c r="R14" s="165"/>
      <c r="S14" s="165"/>
      <c r="T14" s="165"/>
      <c r="U14" s="165"/>
      <c r="V14" s="165"/>
    </row>
    <row r="15" spans="1:22">
      <c r="A15" s="165"/>
      <c r="B15" s="165"/>
      <c r="C15" s="165"/>
      <c r="D15" s="165"/>
      <c r="E15" s="165"/>
      <c r="F15" s="165"/>
      <c r="G15" s="165"/>
      <c r="H15" s="165"/>
      <c r="I15" s="165"/>
      <c r="J15" s="165"/>
      <c r="K15" s="165"/>
      <c r="L15" s="165"/>
      <c r="M15" s="165"/>
      <c r="N15" s="165"/>
      <c r="O15" s="165"/>
      <c r="P15" s="165"/>
      <c r="Q15" s="165"/>
      <c r="R15" s="165"/>
      <c r="S15" s="165"/>
      <c r="T15" s="165"/>
      <c r="U15" s="165"/>
      <c r="V15" s="165"/>
    </row>
    <row r="16" spans="1:22">
      <c r="A16" s="165"/>
      <c r="B16" s="165"/>
      <c r="C16" s="165"/>
      <c r="D16" s="165"/>
      <c r="E16" s="165"/>
      <c r="F16" s="165"/>
      <c r="G16" s="165"/>
      <c r="H16" s="165"/>
      <c r="I16" s="165"/>
      <c r="J16" s="165"/>
      <c r="K16" s="165"/>
      <c r="L16" s="165"/>
      <c r="M16" s="165"/>
      <c r="N16" s="165"/>
      <c r="O16" s="165"/>
      <c r="P16" s="165"/>
      <c r="Q16" s="165"/>
      <c r="R16" s="165"/>
      <c r="S16" s="165"/>
      <c r="T16" s="165"/>
      <c r="U16" s="165"/>
      <c r="V16" s="165"/>
    </row>
  </sheetData>
  <mergeCells count="9">
    <mergeCell ref="B4:B6"/>
    <mergeCell ref="C4:F4"/>
    <mergeCell ref="G4:K4"/>
    <mergeCell ref="L4:P4"/>
    <mergeCell ref="Q4:U4"/>
    <mergeCell ref="C5:F5"/>
    <mergeCell ref="G5:K5"/>
    <mergeCell ref="L5:P5"/>
    <mergeCell ref="Q5:U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0808-6DF2-47EF-834C-7BC76002F7D6}">
  <dimension ref="A1:X43"/>
  <sheetViews>
    <sheetView zoomScaleNormal="100" workbookViewId="0">
      <selection activeCell="B88" sqref="B88:K88"/>
    </sheetView>
  </sheetViews>
  <sheetFormatPr defaultRowHeight="12.75"/>
  <cols>
    <col min="21" max="21" width="25" customWidth="1"/>
  </cols>
  <sheetData>
    <row r="1" spans="1:24" ht="15">
      <c r="A1" s="165"/>
      <c r="B1" s="252" t="s">
        <v>496</v>
      </c>
      <c r="C1" s="165"/>
      <c r="D1" s="165"/>
      <c r="E1" s="165"/>
      <c r="F1" s="165"/>
      <c r="G1" s="165"/>
      <c r="H1" s="165"/>
      <c r="I1" s="165"/>
      <c r="J1" s="165"/>
      <c r="K1" s="165"/>
      <c r="L1" s="165"/>
      <c r="M1" s="165"/>
      <c r="N1" s="165"/>
      <c r="O1" s="165"/>
      <c r="P1" s="165"/>
      <c r="Q1" s="165"/>
      <c r="R1" s="165"/>
      <c r="S1" s="165"/>
      <c r="T1" s="226"/>
      <c r="U1" s="266"/>
    </row>
    <row r="2" spans="1:24">
      <c r="A2" s="165"/>
      <c r="B2" s="253" t="s">
        <v>497</v>
      </c>
      <c r="C2" s="165"/>
      <c r="D2" s="165"/>
      <c r="E2" s="165"/>
      <c r="F2" s="165"/>
      <c r="G2" s="165"/>
      <c r="H2" s="165"/>
      <c r="I2" s="165"/>
      <c r="J2" s="165"/>
      <c r="K2" s="165"/>
      <c r="L2" s="165"/>
      <c r="M2" s="165"/>
      <c r="N2" s="165"/>
      <c r="O2" s="165"/>
      <c r="P2" s="165"/>
      <c r="Q2" s="165"/>
      <c r="R2" s="165"/>
      <c r="S2" s="165"/>
    </row>
    <row r="3" spans="1:24">
      <c r="A3" s="165"/>
      <c r="B3" s="165"/>
      <c r="C3" s="165"/>
      <c r="D3" s="165"/>
      <c r="E3" s="165"/>
      <c r="F3" s="165"/>
      <c r="G3" s="165"/>
      <c r="H3" s="165"/>
      <c r="I3" s="165"/>
      <c r="J3" s="165"/>
      <c r="K3" s="165"/>
      <c r="L3" s="165"/>
      <c r="M3" s="165"/>
      <c r="N3" s="165"/>
      <c r="O3" s="165"/>
      <c r="P3" s="165"/>
      <c r="Q3" s="165"/>
      <c r="R3" s="165"/>
      <c r="S3" s="165"/>
    </row>
    <row r="4" spans="1:24" ht="14.25">
      <c r="A4" s="165"/>
      <c r="B4" s="165"/>
      <c r="C4" s="165"/>
      <c r="D4" s="165"/>
      <c r="E4" s="165"/>
      <c r="F4" s="165"/>
      <c r="G4" s="165"/>
      <c r="H4" s="165"/>
      <c r="I4" s="165"/>
      <c r="J4" s="165"/>
      <c r="K4" s="165"/>
      <c r="L4" s="165"/>
      <c r="M4" s="165"/>
      <c r="N4" s="165"/>
      <c r="O4" s="165"/>
      <c r="P4" s="165"/>
      <c r="Q4" s="165"/>
      <c r="R4" s="165"/>
      <c r="S4" s="165"/>
      <c r="U4" s="267" t="s">
        <v>498</v>
      </c>
      <c r="V4" s="268"/>
      <c r="W4" s="268"/>
      <c r="X4" s="268"/>
    </row>
    <row r="5" spans="1:24">
      <c r="A5" s="165"/>
      <c r="B5" s="165"/>
      <c r="C5" s="165"/>
      <c r="D5" s="165"/>
      <c r="E5" s="165"/>
      <c r="F5" s="165"/>
      <c r="G5" s="165"/>
      <c r="H5" s="165"/>
      <c r="I5" s="165"/>
      <c r="J5" s="165"/>
      <c r="K5" s="165"/>
      <c r="L5" s="165"/>
      <c r="M5" s="165"/>
      <c r="N5" s="165"/>
      <c r="O5" s="165"/>
      <c r="P5" s="165"/>
      <c r="Q5" s="165"/>
      <c r="R5" s="165"/>
      <c r="S5" s="165"/>
      <c r="U5" s="268"/>
      <c r="V5" s="268" t="s">
        <v>247</v>
      </c>
      <c r="W5" s="268" t="s">
        <v>249</v>
      </c>
      <c r="X5" s="268" t="s">
        <v>329</v>
      </c>
    </row>
    <row r="6" spans="1:24">
      <c r="A6" s="165"/>
      <c r="B6" s="165"/>
      <c r="C6" s="165"/>
      <c r="D6" s="165"/>
      <c r="E6" s="165"/>
      <c r="F6" s="165"/>
      <c r="G6" s="165"/>
      <c r="H6" s="165"/>
      <c r="I6" s="165"/>
      <c r="J6" s="165"/>
      <c r="K6" s="165"/>
      <c r="L6" s="165"/>
      <c r="M6" s="165"/>
      <c r="N6" s="165"/>
      <c r="O6" s="165"/>
      <c r="P6" s="165"/>
      <c r="Q6" s="165"/>
      <c r="R6" s="165"/>
      <c r="S6" s="165"/>
      <c r="U6" s="268" t="s">
        <v>499</v>
      </c>
      <c r="V6" s="269">
        <v>20</v>
      </c>
      <c r="W6" s="269">
        <v>11.111111111111111</v>
      </c>
      <c r="X6" s="269">
        <v>2.083333333333333</v>
      </c>
    </row>
    <row r="7" spans="1:24">
      <c r="A7" s="165"/>
      <c r="B7" s="165"/>
      <c r="C7" s="165"/>
      <c r="D7" s="165"/>
      <c r="E7" s="165"/>
      <c r="F7" s="165"/>
      <c r="G7" s="165"/>
      <c r="H7" s="165"/>
      <c r="I7" s="165"/>
      <c r="J7" s="165"/>
      <c r="K7" s="165"/>
      <c r="L7" s="165"/>
      <c r="M7" s="165"/>
      <c r="N7" s="165"/>
      <c r="O7" s="165"/>
      <c r="P7" s="165"/>
      <c r="Q7" s="165"/>
      <c r="R7" s="165"/>
      <c r="S7" s="165"/>
      <c r="U7" s="268" t="s">
        <v>500</v>
      </c>
      <c r="V7" s="269">
        <v>17.142857142857142</v>
      </c>
      <c r="W7" s="269">
        <v>12.5</v>
      </c>
      <c r="X7" s="269">
        <v>2.083333333333333</v>
      </c>
    </row>
    <row r="8" spans="1:24">
      <c r="A8" s="165"/>
      <c r="B8" s="165"/>
      <c r="C8" s="165"/>
      <c r="D8" s="165"/>
      <c r="E8" s="165"/>
      <c r="F8" s="165"/>
      <c r="G8" s="165"/>
      <c r="H8" s="165"/>
      <c r="I8" s="165"/>
      <c r="J8" s="165"/>
      <c r="K8" s="165"/>
      <c r="L8" s="165"/>
      <c r="M8" s="165"/>
      <c r="N8" s="165"/>
      <c r="O8" s="165"/>
      <c r="P8" s="165"/>
      <c r="Q8" s="165"/>
      <c r="R8" s="165"/>
      <c r="S8" s="165"/>
      <c r="U8" s="268" t="s">
        <v>501</v>
      </c>
      <c r="V8" s="269">
        <v>62.857142857142854</v>
      </c>
      <c r="W8" s="269">
        <v>76.388888888888886</v>
      </c>
      <c r="X8" s="269">
        <v>95.833333333333343</v>
      </c>
    </row>
    <row r="9" spans="1:24">
      <c r="A9" s="165"/>
      <c r="B9" s="165"/>
      <c r="C9" s="165"/>
      <c r="D9" s="165"/>
      <c r="E9" s="165"/>
      <c r="F9" s="165"/>
      <c r="G9" s="165"/>
      <c r="H9" s="165"/>
      <c r="I9" s="165"/>
      <c r="J9" s="165"/>
      <c r="K9" s="165"/>
      <c r="L9" s="165"/>
      <c r="M9" s="165"/>
      <c r="N9" s="165"/>
      <c r="O9" s="165"/>
      <c r="P9" s="165"/>
      <c r="Q9" s="165"/>
      <c r="R9" s="165"/>
      <c r="S9" s="165"/>
      <c r="U9" s="268"/>
      <c r="V9" s="268"/>
      <c r="W9" s="268"/>
      <c r="X9" s="268"/>
    </row>
    <row r="10" spans="1:24" ht="15.75">
      <c r="A10" s="165"/>
      <c r="B10" s="165"/>
      <c r="C10" s="165"/>
      <c r="D10" s="165"/>
      <c r="E10" s="165"/>
      <c r="F10" s="165"/>
      <c r="G10" s="165"/>
      <c r="H10" s="165"/>
      <c r="I10" s="165"/>
      <c r="J10" s="165"/>
      <c r="K10" s="165"/>
      <c r="L10" s="165"/>
      <c r="M10" s="165"/>
      <c r="N10" s="165"/>
      <c r="O10" s="165"/>
      <c r="P10" s="165"/>
      <c r="Q10" s="165"/>
      <c r="R10" s="165"/>
      <c r="S10" s="165"/>
      <c r="U10" s="267" t="s">
        <v>502</v>
      </c>
      <c r="V10" s="268"/>
      <c r="W10" s="268"/>
      <c r="X10" s="268"/>
    </row>
    <row r="11" spans="1:24">
      <c r="A11" s="165"/>
      <c r="B11" s="165"/>
      <c r="C11" s="165"/>
      <c r="D11" s="165"/>
      <c r="E11" s="165"/>
      <c r="F11" s="165"/>
      <c r="G11" s="165"/>
      <c r="H11" s="165"/>
      <c r="I11" s="165"/>
      <c r="J11" s="165"/>
      <c r="K11" s="165"/>
      <c r="L11" s="165"/>
      <c r="M11" s="165"/>
      <c r="N11" s="165"/>
      <c r="O11" s="165"/>
      <c r="P11" s="165"/>
      <c r="Q11" s="165"/>
      <c r="R11" s="165"/>
      <c r="S11" s="165"/>
      <c r="U11" s="268"/>
      <c r="V11" s="268" t="s">
        <v>247</v>
      </c>
      <c r="W11" s="268" t="s">
        <v>249</v>
      </c>
      <c r="X11" s="268" t="s">
        <v>329</v>
      </c>
    </row>
    <row r="12" spans="1:24">
      <c r="A12" s="165"/>
      <c r="B12" s="165"/>
      <c r="C12" s="165"/>
      <c r="D12" s="165"/>
      <c r="E12" s="165"/>
      <c r="F12" s="165"/>
      <c r="G12" s="165"/>
      <c r="H12" s="165"/>
      <c r="I12" s="165"/>
      <c r="J12" s="165"/>
      <c r="K12" s="165"/>
      <c r="L12" s="165"/>
      <c r="M12" s="165"/>
      <c r="N12" s="165"/>
      <c r="O12" s="165"/>
      <c r="P12" s="165"/>
      <c r="Q12" s="165"/>
      <c r="R12" s="165"/>
      <c r="S12" s="165"/>
      <c r="U12" s="268" t="s">
        <v>503</v>
      </c>
      <c r="V12" s="269">
        <v>40</v>
      </c>
      <c r="W12" s="269">
        <v>20.689655172413794</v>
      </c>
      <c r="X12" s="269">
        <v>14.893617021276595</v>
      </c>
    </row>
    <row r="13" spans="1:24">
      <c r="A13" s="165"/>
      <c r="B13" s="165"/>
      <c r="C13" s="165"/>
      <c r="D13" s="165"/>
      <c r="E13" s="165"/>
      <c r="F13" s="165"/>
      <c r="G13" s="165"/>
      <c r="H13" s="165"/>
      <c r="I13" s="165"/>
      <c r="J13" s="165"/>
      <c r="K13" s="165"/>
      <c r="L13" s="165"/>
      <c r="M13" s="165"/>
      <c r="N13" s="165"/>
      <c r="O13" s="165"/>
      <c r="P13" s="165"/>
      <c r="Q13" s="165"/>
      <c r="R13" s="165"/>
      <c r="S13" s="165"/>
      <c r="U13" s="268" t="s">
        <v>504</v>
      </c>
      <c r="V13" s="269">
        <v>17.5</v>
      </c>
      <c r="W13" s="269">
        <v>10.344827586206897</v>
      </c>
      <c r="X13" s="269">
        <v>8.5106382978723403</v>
      </c>
    </row>
    <row r="14" spans="1:24">
      <c r="A14" s="165"/>
      <c r="B14" s="165"/>
      <c r="C14" s="165"/>
      <c r="D14" s="165"/>
      <c r="E14" s="165"/>
      <c r="F14" s="165"/>
      <c r="G14" s="165"/>
      <c r="H14" s="165"/>
      <c r="I14" s="165"/>
      <c r="J14" s="165"/>
      <c r="K14" s="165"/>
      <c r="L14" s="165"/>
      <c r="M14" s="165"/>
      <c r="N14" s="165"/>
      <c r="O14" s="165"/>
      <c r="P14" s="165"/>
      <c r="Q14" s="165"/>
      <c r="R14" s="165"/>
      <c r="S14" s="165"/>
      <c r="U14" s="268" t="s">
        <v>505</v>
      </c>
      <c r="V14" s="269">
        <v>37.5</v>
      </c>
      <c r="W14" s="269">
        <v>17.241379310344829</v>
      </c>
      <c r="X14" s="269">
        <v>6.3829787234042552</v>
      </c>
    </row>
    <row r="15" spans="1:24">
      <c r="A15" s="165"/>
      <c r="B15" s="165"/>
      <c r="C15" s="165"/>
      <c r="D15" s="165"/>
      <c r="E15" s="165"/>
      <c r="F15" s="165"/>
      <c r="G15" s="165"/>
      <c r="H15" s="165"/>
      <c r="I15" s="165"/>
      <c r="J15" s="165"/>
      <c r="K15" s="165"/>
      <c r="L15" s="165"/>
      <c r="M15" s="165"/>
      <c r="N15" s="165"/>
      <c r="O15" s="165"/>
      <c r="P15" s="165"/>
      <c r="Q15" s="165"/>
      <c r="R15" s="165"/>
      <c r="S15" s="165"/>
      <c r="U15" s="268" t="s">
        <v>506</v>
      </c>
      <c r="V15" s="269">
        <v>5</v>
      </c>
      <c r="W15" s="269">
        <v>51.724137931034484</v>
      </c>
      <c r="X15" s="269">
        <v>70.212765957446805</v>
      </c>
    </row>
    <row r="16" spans="1:24" ht="14.25">
      <c r="A16" s="165"/>
      <c r="B16" s="165"/>
      <c r="C16" s="165"/>
      <c r="D16" s="165"/>
      <c r="E16" s="165"/>
      <c r="F16" s="165"/>
      <c r="G16" s="165"/>
      <c r="H16" s="165"/>
      <c r="I16" s="165"/>
      <c r="J16" s="165"/>
      <c r="K16" s="165"/>
      <c r="L16" s="165"/>
      <c r="M16" s="165"/>
      <c r="N16" s="165"/>
      <c r="O16" s="165"/>
      <c r="P16" s="165"/>
      <c r="Q16" s="165"/>
      <c r="R16" s="165"/>
      <c r="S16" s="165"/>
      <c r="U16" s="270" t="s">
        <v>507</v>
      </c>
      <c r="V16" s="268"/>
      <c r="W16" s="268"/>
      <c r="X16" s="268"/>
    </row>
    <row r="17" spans="1:24">
      <c r="A17" s="165"/>
      <c r="B17" s="165"/>
      <c r="C17" s="165"/>
      <c r="D17" s="165"/>
      <c r="E17" s="165"/>
      <c r="F17" s="165"/>
      <c r="G17" s="165"/>
      <c r="H17" s="165"/>
      <c r="I17" s="165"/>
      <c r="J17" s="165"/>
      <c r="K17" s="165"/>
      <c r="L17" s="165"/>
      <c r="M17" s="165"/>
      <c r="N17" s="165"/>
      <c r="O17" s="165"/>
      <c r="P17" s="165"/>
      <c r="Q17" s="165"/>
      <c r="R17" s="165"/>
      <c r="S17" s="165"/>
      <c r="U17" s="268"/>
      <c r="V17" s="268" t="s">
        <v>508</v>
      </c>
      <c r="W17" s="268" t="s">
        <v>509</v>
      </c>
      <c r="X17" s="268" t="s">
        <v>506</v>
      </c>
    </row>
    <row r="18" spans="1:24">
      <c r="A18" s="165"/>
      <c r="B18" s="165"/>
      <c r="C18" s="165"/>
      <c r="D18" s="165"/>
      <c r="E18" s="165"/>
      <c r="F18" s="165"/>
      <c r="G18" s="165"/>
      <c r="H18" s="165"/>
      <c r="I18" s="165"/>
      <c r="J18" s="165"/>
      <c r="K18" s="165"/>
      <c r="L18" s="165"/>
      <c r="M18" s="165"/>
      <c r="N18" s="165"/>
      <c r="O18" s="165"/>
      <c r="P18" s="165"/>
      <c r="Q18" s="165"/>
      <c r="R18" s="165"/>
      <c r="S18" s="165"/>
      <c r="U18" s="268" t="s">
        <v>247</v>
      </c>
      <c r="V18" s="269">
        <v>51.428571428571423</v>
      </c>
      <c r="W18" s="269">
        <v>14.285714285714285</v>
      </c>
      <c r="X18" s="269">
        <v>34.285714285714285</v>
      </c>
    </row>
    <row r="19" spans="1:24">
      <c r="A19" s="165"/>
      <c r="B19" s="165"/>
      <c r="C19" s="165"/>
      <c r="D19" s="165"/>
      <c r="E19" s="165"/>
      <c r="F19" s="165"/>
      <c r="G19" s="165"/>
      <c r="H19" s="165"/>
      <c r="I19" s="165"/>
      <c r="J19" s="165"/>
      <c r="K19" s="165"/>
      <c r="L19" s="165"/>
      <c r="M19" s="165"/>
      <c r="N19" s="165"/>
      <c r="O19" s="165"/>
      <c r="P19" s="165"/>
      <c r="Q19" s="165"/>
      <c r="R19" s="165"/>
      <c r="S19" s="165"/>
      <c r="U19" s="268" t="s">
        <v>249</v>
      </c>
      <c r="V19" s="269">
        <v>12.962962962962962</v>
      </c>
      <c r="W19" s="269">
        <v>16.666666666666664</v>
      </c>
      <c r="X19" s="269">
        <v>70.370370370370367</v>
      </c>
    </row>
    <row r="20" spans="1:24">
      <c r="A20" s="165"/>
      <c r="B20" s="165"/>
      <c r="C20" s="165"/>
      <c r="D20" s="165"/>
      <c r="E20" s="165"/>
      <c r="F20" s="165"/>
      <c r="G20" s="165"/>
      <c r="H20" s="165"/>
      <c r="I20" s="165"/>
      <c r="J20" s="165"/>
      <c r="K20" s="165"/>
      <c r="L20" s="165"/>
      <c r="M20" s="165"/>
      <c r="N20" s="165"/>
      <c r="O20" s="165"/>
      <c r="P20" s="165"/>
      <c r="Q20" s="165"/>
      <c r="R20" s="165"/>
      <c r="S20" s="165"/>
      <c r="U20" s="268" t="s">
        <v>329</v>
      </c>
      <c r="V20" s="269">
        <v>9.3023255813953494</v>
      </c>
      <c r="W20" s="269">
        <v>6.9767441860465116</v>
      </c>
      <c r="X20" s="269">
        <v>83.720930232558146</v>
      </c>
    </row>
    <row r="21" spans="1:24">
      <c r="A21" s="165"/>
      <c r="B21" s="165"/>
      <c r="C21" s="165"/>
      <c r="D21" s="165"/>
      <c r="E21" s="165"/>
      <c r="F21" s="165"/>
      <c r="G21" s="165"/>
      <c r="H21" s="165"/>
      <c r="I21" s="165"/>
      <c r="J21" s="165"/>
      <c r="K21" s="165"/>
      <c r="L21" s="165"/>
      <c r="M21" s="165"/>
      <c r="N21" s="165"/>
      <c r="O21" s="165"/>
      <c r="P21" s="165"/>
      <c r="Q21" s="165"/>
      <c r="R21" s="165"/>
      <c r="S21" s="165"/>
      <c r="U21" s="268"/>
      <c r="V21" s="268"/>
      <c r="W21" s="268"/>
      <c r="X21" s="268"/>
    </row>
    <row r="22" spans="1:24" ht="14.25">
      <c r="A22" s="165"/>
      <c r="B22" s="165"/>
      <c r="C22" s="165"/>
      <c r="D22" s="165"/>
      <c r="E22" s="165"/>
      <c r="F22" s="165"/>
      <c r="G22" s="165"/>
      <c r="H22" s="165"/>
      <c r="I22" s="165"/>
      <c r="J22" s="165"/>
      <c r="K22" s="165"/>
      <c r="L22" s="165"/>
      <c r="M22" s="165"/>
      <c r="N22" s="165"/>
      <c r="O22" s="165"/>
      <c r="P22" s="165"/>
      <c r="Q22" s="165"/>
      <c r="R22" s="165"/>
      <c r="S22" s="165"/>
      <c r="U22" s="270" t="s">
        <v>510</v>
      </c>
      <c r="V22" s="268"/>
      <c r="W22" s="268"/>
      <c r="X22" s="268"/>
    </row>
    <row r="23" spans="1:24">
      <c r="A23" s="165"/>
      <c r="B23" s="165"/>
      <c r="C23" s="165"/>
      <c r="D23" s="165"/>
      <c r="E23" s="165"/>
      <c r="F23" s="165"/>
      <c r="G23" s="165"/>
      <c r="H23" s="165"/>
      <c r="I23" s="165"/>
      <c r="J23" s="165"/>
      <c r="K23" s="165"/>
      <c r="L23" s="165"/>
      <c r="M23" s="165"/>
      <c r="N23" s="165"/>
      <c r="O23" s="165"/>
      <c r="P23" s="165"/>
      <c r="Q23" s="165"/>
      <c r="R23" s="165"/>
      <c r="S23" s="165"/>
      <c r="U23" s="268"/>
      <c r="V23" s="268" t="s">
        <v>247</v>
      </c>
      <c r="W23" s="268" t="s">
        <v>249</v>
      </c>
      <c r="X23" s="268" t="s">
        <v>329</v>
      </c>
    </row>
    <row r="24" spans="1:24">
      <c r="A24" s="165"/>
      <c r="B24" s="165"/>
      <c r="C24" s="165"/>
      <c r="D24" s="165"/>
      <c r="E24" s="165"/>
      <c r="F24" s="165"/>
      <c r="G24" s="165"/>
      <c r="H24" s="165"/>
      <c r="I24" s="165"/>
      <c r="J24" s="165"/>
      <c r="K24" s="165"/>
      <c r="L24" s="165"/>
      <c r="M24" s="165"/>
      <c r="N24" s="165"/>
      <c r="O24" s="165"/>
      <c r="P24" s="165"/>
      <c r="Q24" s="165"/>
      <c r="R24" s="165"/>
      <c r="S24" s="165"/>
      <c r="U24" s="268" t="s">
        <v>506</v>
      </c>
      <c r="V24" s="269">
        <v>82.35294117647058</v>
      </c>
      <c r="W24" s="269">
        <v>72.340425531914903</v>
      </c>
      <c r="X24" s="269">
        <v>94.117647058823522</v>
      </c>
    </row>
    <row r="25" spans="1:24">
      <c r="A25" s="165"/>
      <c r="B25" s="165"/>
      <c r="C25" s="165"/>
      <c r="D25" s="165"/>
      <c r="E25" s="165"/>
      <c r="F25" s="165"/>
      <c r="G25" s="165"/>
      <c r="H25" s="165"/>
      <c r="I25" s="165"/>
      <c r="J25" s="165"/>
      <c r="K25" s="165"/>
      <c r="L25" s="165"/>
      <c r="M25" s="165"/>
      <c r="N25" s="165"/>
      <c r="O25" s="165"/>
      <c r="P25" s="165"/>
      <c r="Q25" s="165"/>
      <c r="R25" s="165"/>
      <c r="S25" s="165"/>
      <c r="U25" s="268" t="s">
        <v>508</v>
      </c>
      <c r="V25" s="269">
        <v>11.76470588235294</v>
      </c>
      <c r="W25" s="269">
        <v>10.638297872340425</v>
      </c>
      <c r="X25" s="269">
        <v>0</v>
      </c>
    </row>
    <row r="26" spans="1:24">
      <c r="A26" s="165"/>
      <c r="B26" s="165"/>
      <c r="C26" s="165"/>
      <c r="D26" s="165"/>
      <c r="E26" s="165"/>
      <c r="F26" s="165"/>
      <c r="G26" s="165"/>
      <c r="H26" s="165"/>
      <c r="I26" s="165"/>
      <c r="J26" s="165"/>
      <c r="K26" s="165"/>
      <c r="L26" s="165"/>
      <c r="M26" s="165"/>
      <c r="N26" s="165"/>
      <c r="O26" s="165"/>
      <c r="P26" s="165"/>
      <c r="Q26" s="165"/>
      <c r="R26" s="165"/>
      <c r="S26" s="165"/>
      <c r="U26" s="268" t="s">
        <v>509</v>
      </c>
      <c r="V26" s="269">
        <v>5.8823529411764701</v>
      </c>
      <c r="W26" s="269">
        <v>17.021276595744681</v>
      </c>
      <c r="X26" s="269">
        <v>5.8823529411764701</v>
      </c>
    </row>
    <row r="27" spans="1:24">
      <c r="A27" s="165"/>
      <c r="B27" s="165"/>
      <c r="C27" s="165"/>
      <c r="D27" s="165"/>
      <c r="E27" s="165"/>
      <c r="F27" s="165"/>
      <c r="G27" s="165"/>
      <c r="H27" s="165"/>
      <c r="I27" s="165"/>
      <c r="J27" s="165"/>
      <c r="K27" s="165"/>
      <c r="L27" s="165"/>
      <c r="M27" s="165"/>
      <c r="N27" s="165"/>
      <c r="O27" s="165"/>
      <c r="P27" s="165"/>
      <c r="Q27" s="165"/>
      <c r="R27" s="165"/>
      <c r="S27" s="165"/>
    </row>
    <row r="28" spans="1:24">
      <c r="A28" s="165"/>
      <c r="B28" s="165"/>
      <c r="C28" s="165"/>
      <c r="D28" s="165"/>
      <c r="E28" s="165"/>
      <c r="F28" s="165"/>
      <c r="G28" s="165"/>
      <c r="H28" s="165"/>
      <c r="I28" s="165"/>
      <c r="J28" s="165"/>
      <c r="K28" s="165"/>
      <c r="L28" s="165"/>
      <c r="M28" s="165"/>
      <c r="N28" s="165"/>
      <c r="O28" s="165"/>
      <c r="P28" s="165"/>
      <c r="Q28" s="165"/>
      <c r="R28" s="165"/>
      <c r="S28" s="165"/>
    </row>
    <row r="29" spans="1:24">
      <c r="A29" s="165"/>
      <c r="B29" s="165"/>
      <c r="C29" s="165"/>
      <c r="D29" s="165"/>
      <c r="E29" s="165"/>
      <c r="F29" s="165"/>
      <c r="G29" s="165"/>
      <c r="H29" s="165"/>
      <c r="I29" s="165"/>
      <c r="J29" s="165"/>
      <c r="K29" s="165"/>
      <c r="L29" s="165"/>
      <c r="M29" s="165"/>
      <c r="N29" s="165"/>
      <c r="O29" s="165"/>
      <c r="P29" s="165"/>
      <c r="Q29" s="165"/>
      <c r="R29" s="165"/>
      <c r="S29" s="165"/>
    </row>
    <row r="30" spans="1:24">
      <c r="A30" s="165"/>
      <c r="B30" s="165"/>
      <c r="C30" s="165"/>
      <c r="D30" s="165"/>
      <c r="E30" s="165"/>
      <c r="F30" s="165"/>
      <c r="G30" s="165"/>
      <c r="H30" s="165"/>
      <c r="I30" s="165"/>
      <c r="J30" s="165"/>
      <c r="K30" s="165"/>
      <c r="L30" s="165"/>
      <c r="M30" s="165"/>
      <c r="N30" s="165"/>
      <c r="O30" s="165"/>
      <c r="P30" s="165"/>
      <c r="Q30" s="165"/>
      <c r="R30" s="165"/>
      <c r="S30" s="165"/>
    </row>
    <row r="31" spans="1:24">
      <c r="A31" s="165"/>
      <c r="B31" s="165"/>
      <c r="C31" s="165"/>
      <c r="D31" s="165"/>
      <c r="E31" s="165"/>
      <c r="F31" s="165"/>
      <c r="G31" s="165"/>
      <c r="H31" s="165"/>
      <c r="I31" s="165"/>
      <c r="J31" s="165"/>
      <c r="K31" s="165"/>
      <c r="L31" s="165"/>
      <c r="M31" s="165"/>
      <c r="N31" s="165"/>
      <c r="O31" s="165"/>
      <c r="P31" s="165"/>
      <c r="Q31" s="165"/>
      <c r="R31" s="165"/>
      <c r="S31" s="165"/>
    </row>
    <row r="32" spans="1:24">
      <c r="A32" s="165"/>
      <c r="B32" s="165"/>
      <c r="C32" s="165"/>
      <c r="D32" s="165"/>
      <c r="E32" s="165"/>
      <c r="F32" s="165"/>
      <c r="G32" s="165"/>
      <c r="H32" s="165"/>
      <c r="I32" s="165"/>
      <c r="J32" s="165"/>
      <c r="K32" s="165"/>
      <c r="L32" s="165"/>
      <c r="M32" s="165"/>
      <c r="N32" s="165"/>
      <c r="O32" s="165"/>
      <c r="P32" s="165"/>
      <c r="Q32" s="165"/>
      <c r="R32" s="165"/>
      <c r="S32" s="165"/>
    </row>
    <row r="33" spans="1:19">
      <c r="A33" s="165"/>
      <c r="B33" s="165"/>
      <c r="C33" s="165"/>
      <c r="D33" s="165"/>
      <c r="E33" s="165"/>
      <c r="F33" s="165"/>
      <c r="G33" s="165"/>
      <c r="H33" s="165"/>
      <c r="I33" s="165"/>
      <c r="J33" s="165"/>
      <c r="K33" s="165"/>
      <c r="L33" s="165"/>
      <c r="M33" s="165"/>
      <c r="N33" s="165"/>
      <c r="O33" s="165"/>
      <c r="P33" s="165"/>
      <c r="Q33" s="165"/>
      <c r="R33" s="165"/>
      <c r="S33" s="165"/>
    </row>
    <row r="34" spans="1:19">
      <c r="A34" s="165"/>
      <c r="B34" s="165"/>
      <c r="C34" s="165"/>
      <c r="D34" s="165"/>
      <c r="E34" s="165"/>
      <c r="F34" s="165"/>
      <c r="G34" s="165"/>
      <c r="H34" s="165"/>
      <c r="I34" s="165"/>
      <c r="J34" s="165"/>
      <c r="K34" s="165"/>
      <c r="L34" s="165"/>
      <c r="M34" s="165"/>
      <c r="N34" s="165"/>
      <c r="O34" s="165"/>
      <c r="P34" s="165"/>
      <c r="Q34" s="165"/>
      <c r="R34" s="165"/>
      <c r="S34" s="165"/>
    </row>
    <row r="35" spans="1:19">
      <c r="A35" s="165"/>
      <c r="B35" s="165"/>
      <c r="C35" s="165"/>
      <c r="D35" s="165"/>
      <c r="E35" s="165"/>
      <c r="F35" s="165"/>
      <c r="G35" s="165"/>
      <c r="H35" s="165"/>
      <c r="I35" s="165"/>
      <c r="J35" s="165"/>
      <c r="K35" s="165"/>
      <c r="L35" s="165"/>
      <c r="M35" s="165"/>
      <c r="N35" s="165"/>
      <c r="O35" s="165"/>
      <c r="P35" s="165"/>
      <c r="Q35" s="165"/>
      <c r="R35" s="165"/>
      <c r="S35" s="165"/>
    </row>
    <row r="36" spans="1:19">
      <c r="A36" s="165"/>
      <c r="B36" s="165"/>
      <c r="C36" s="165"/>
      <c r="D36" s="165"/>
      <c r="E36" s="165"/>
      <c r="F36" s="165"/>
      <c r="G36" s="165"/>
      <c r="H36" s="165"/>
      <c r="I36" s="165"/>
      <c r="J36" s="165"/>
      <c r="K36" s="165"/>
      <c r="L36" s="165"/>
      <c r="M36" s="165"/>
      <c r="N36" s="165"/>
      <c r="O36" s="165"/>
      <c r="P36" s="165"/>
      <c r="Q36" s="165"/>
      <c r="R36" s="165"/>
      <c r="S36" s="165"/>
    </row>
    <row r="37" spans="1:19">
      <c r="A37" s="165"/>
      <c r="B37" s="165"/>
      <c r="C37" s="165"/>
      <c r="D37" s="165"/>
      <c r="E37" s="165"/>
      <c r="F37" s="165"/>
      <c r="G37" s="165"/>
      <c r="H37" s="165"/>
      <c r="I37" s="165"/>
      <c r="J37" s="165"/>
      <c r="K37" s="165"/>
      <c r="L37" s="165"/>
      <c r="M37" s="165"/>
      <c r="N37" s="165"/>
      <c r="O37" s="165"/>
      <c r="P37" s="165"/>
      <c r="Q37" s="165"/>
      <c r="R37" s="165"/>
      <c r="S37" s="165"/>
    </row>
    <row r="38" spans="1:19">
      <c r="A38" s="165"/>
      <c r="B38" s="165"/>
      <c r="C38" s="165"/>
      <c r="D38" s="165"/>
      <c r="E38" s="165"/>
      <c r="F38" s="165"/>
      <c r="G38" s="165"/>
      <c r="H38" s="165"/>
      <c r="I38" s="165"/>
      <c r="J38" s="165"/>
      <c r="K38" s="165"/>
      <c r="L38" s="165"/>
      <c r="M38" s="165"/>
      <c r="N38" s="165"/>
      <c r="O38" s="165"/>
      <c r="P38" s="165"/>
      <c r="Q38" s="165"/>
      <c r="R38" s="165"/>
      <c r="S38" s="165"/>
    </row>
    <row r="39" spans="1:19">
      <c r="A39" s="165"/>
      <c r="B39" s="165"/>
      <c r="C39" s="165"/>
      <c r="D39" s="165"/>
      <c r="E39" s="165"/>
      <c r="F39" s="165"/>
      <c r="G39" s="165"/>
      <c r="H39" s="165"/>
      <c r="I39" s="165"/>
      <c r="J39" s="165"/>
      <c r="K39" s="165"/>
      <c r="L39" s="165"/>
      <c r="M39" s="165"/>
      <c r="N39" s="165"/>
      <c r="O39" s="165"/>
      <c r="P39" s="165"/>
      <c r="Q39" s="165"/>
      <c r="R39" s="165"/>
      <c r="S39" s="165"/>
    </row>
    <row r="40" spans="1:19">
      <c r="A40" s="165"/>
      <c r="B40" s="165"/>
      <c r="C40" s="165"/>
      <c r="D40" s="165"/>
      <c r="E40" s="165"/>
      <c r="F40" s="165"/>
      <c r="G40" s="165"/>
      <c r="H40" s="165"/>
      <c r="I40" s="165"/>
      <c r="J40" s="165"/>
      <c r="K40" s="165"/>
      <c r="L40" s="165"/>
      <c r="M40" s="165"/>
      <c r="N40" s="165"/>
      <c r="O40" s="165"/>
      <c r="P40" s="165"/>
      <c r="Q40" s="165"/>
      <c r="R40" s="165"/>
      <c r="S40" s="165"/>
    </row>
    <row r="41" spans="1:19">
      <c r="A41" s="165"/>
      <c r="B41" s="165"/>
      <c r="C41" s="165"/>
      <c r="D41" s="165"/>
      <c r="E41" s="165"/>
      <c r="F41" s="165"/>
      <c r="G41" s="165"/>
      <c r="H41" s="165"/>
      <c r="I41" s="165"/>
      <c r="J41" s="165"/>
      <c r="K41" s="165"/>
      <c r="L41" s="165"/>
      <c r="M41" s="165"/>
      <c r="N41" s="165"/>
      <c r="O41" s="165"/>
      <c r="P41" s="165"/>
      <c r="Q41" s="165"/>
      <c r="R41" s="165"/>
      <c r="S41" s="165"/>
    </row>
    <row r="42" spans="1:19">
      <c r="A42" s="165"/>
      <c r="B42" s="165"/>
      <c r="C42" s="165"/>
      <c r="D42" s="165"/>
      <c r="E42" s="165"/>
      <c r="F42" s="165"/>
      <c r="G42" s="165"/>
      <c r="H42" s="165"/>
      <c r="I42" s="165"/>
      <c r="J42" s="165"/>
      <c r="K42" s="165"/>
      <c r="L42" s="165"/>
      <c r="M42" s="165"/>
      <c r="N42" s="165"/>
      <c r="O42" s="165"/>
      <c r="P42" s="165"/>
      <c r="Q42" s="165"/>
      <c r="R42" s="165"/>
      <c r="S42" s="165"/>
    </row>
    <row r="43" spans="1:19">
      <c r="A43" s="165"/>
      <c r="B43" s="165"/>
      <c r="C43" s="165"/>
      <c r="D43" s="165"/>
      <c r="E43" s="165"/>
      <c r="F43" s="165"/>
      <c r="G43" s="165"/>
      <c r="H43" s="165"/>
      <c r="I43" s="165"/>
      <c r="J43" s="165"/>
      <c r="K43" s="165"/>
      <c r="L43" s="165"/>
      <c r="M43" s="165"/>
      <c r="N43" s="165"/>
      <c r="O43" s="165"/>
      <c r="P43" s="165"/>
      <c r="Q43" s="165"/>
      <c r="R43" s="165"/>
      <c r="S43" s="165"/>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849A-BE2A-40FA-9E5C-55F1B3D61AFA}">
  <dimension ref="A1:AH29"/>
  <sheetViews>
    <sheetView zoomScaleNormal="100" workbookViewId="0">
      <selection activeCell="B88" sqref="B88:K88"/>
    </sheetView>
  </sheetViews>
  <sheetFormatPr defaultColWidth="9.140625" defaultRowHeight="12.75"/>
  <cols>
    <col min="1" max="264" width="9.140625" style="273"/>
    <col min="265" max="265" width="4.28515625" style="273" customWidth="1"/>
    <col min="266" max="520" width="9.140625" style="273"/>
    <col min="521" max="521" width="4.28515625" style="273" customWidth="1"/>
    <col min="522" max="776" width="9.140625" style="273"/>
    <col min="777" max="777" width="4.28515625" style="273" customWidth="1"/>
    <col min="778" max="1032" width="9.140625" style="273"/>
    <col min="1033" max="1033" width="4.28515625" style="273" customWidth="1"/>
    <col min="1034" max="1288" width="9.140625" style="273"/>
    <col min="1289" max="1289" width="4.28515625" style="273" customWidth="1"/>
    <col min="1290" max="1544" width="9.140625" style="273"/>
    <col min="1545" max="1545" width="4.28515625" style="273" customWidth="1"/>
    <col min="1546" max="1800" width="9.140625" style="273"/>
    <col min="1801" max="1801" width="4.28515625" style="273" customWidth="1"/>
    <col min="1802" max="2056" width="9.140625" style="273"/>
    <col min="2057" max="2057" width="4.28515625" style="273" customWidth="1"/>
    <col min="2058" max="2312" width="9.140625" style="273"/>
    <col min="2313" max="2313" width="4.28515625" style="273" customWidth="1"/>
    <col min="2314" max="2568" width="9.140625" style="273"/>
    <col min="2569" max="2569" width="4.28515625" style="273" customWidth="1"/>
    <col min="2570" max="2824" width="9.140625" style="273"/>
    <col min="2825" max="2825" width="4.28515625" style="273" customWidth="1"/>
    <col min="2826" max="3080" width="9.140625" style="273"/>
    <col min="3081" max="3081" width="4.28515625" style="273" customWidth="1"/>
    <col min="3082" max="3336" width="9.140625" style="273"/>
    <col min="3337" max="3337" width="4.28515625" style="273" customWidth="1"/>
    <col min="3338" max="3592" width="9.140625" style="273"/>
    <col min="3593" max="3593" width="4.28515625" style="273" customWidth="1"/>
    <col min="3594" max="3848" width="9.140625" style="273"/>
    <col min="3849" max="3849" width="4.28515625" style="273" customWidth="1"/>
    <col min="3850" max="4104" width="9.140625" style="273"/>
    <col min="4105" max="4105" width="4.28515625" style="273" customWidth="1"/>
    <col min="4106" max="4360" width="9.140625" style="273"/>
    <col min="4361" max="4361" width="4.28515625" style="273" customWidth="1"/>
    <col min="4362" max="4616" width="9.140625" style="273"/>
    <col min="4617" max="4617" width="4.28515625" style="273" customWidth="1"/>
    <col min="4618" max="4872" width="9.140625" style="273"/>
    <col min="4873" max="4873" width="4.28515625" style="273" customWidth="1"/>
    <col min="4874" max="5128" width="9.140625" style="273"/>
    <col min="5129" max="5129" width="4.28515625" style="273" customWidth="1"/>
    <col min="5130" max="5384" width="9.140625" style="273"/>
    <col min="5385" max="5385" width="4.28515625" style="273" customWidth="1"/>
    <col min="5386" max="5640" width="9.140625" style="273"/>
    <col min="5641" max="5641" width="4.28515625" style="273" customWidth="1"/>
    <col min="5642" max="5896" width="9.140625" style="273"/>
    <col min="5897" max="5897" width="4.28515625" style="273" customWidth="1"/>
    <col min="5898" max="6152" width="9.140625" style="273"/>
    <col min="6153" max="6153" width="4.28515625" style="273" customWidth="1"/>
    <col min="6154" max="6408" width="9.140625" style="273"/>
    <col min="6409" max="6409" width="4.28515625" style="273" customWidth="1"/>
    <col min="6410" max="6664" width="9.140625" style="273"/>
    <col min="6665" max="6665" width="4.28515625" style="273" customWidth="1"/>
    <col min="6666" max="6920" width="9.140625" style="273"/>
    <col min="6921" max="6921" width="4.28515625" style="273" customWidth="1"/>
    <col min="6922" max="7176" width="9.140625" style="273"/>
    <col min="7177" max="7177" width="4.28515625" style="273" customWidth="1"/>
    <col min="7178" max="7432" width="9.140625" style="273"/>
    <col min="7433" max="7433" width="4.28515625" style="273" customWidth="1"/>
    <col min="7434" max="7688" width="9.140625" style="273"/>
    <col min="7689" max="7689" width="4.28515625" style="273" customWidth="1"/>
    <col min="7690" max="7944" width="9.140625" style="273"/>
    <col min="7945" max="7945" width="4.28515625" style="273" customWidth="1"/>
    <col min="7946" max="8200" width="9.140625" style="273"/>
    <col min="8201" max="8201" width="4.28515625" style="273" customWidth="1"/>
    <col min="8202" max="8456" width="9.140625" style="273"/>
    <col min="8457" max="8457" width="4.28515625" style="273" customWidth="1"/>
    <col min="8458" max="8712" width="9.140625" style="273"/>
    <col min="8713" max="8713" width="4.28515625" style="273" customWidth="1"/>
    <col min="8714" max="8968" width="9.140625" style="273"/>
    <col min="8969" max="8969" width="4.28515625" style="273" customWidth="1"/>
    <col min="8970" max="9224" width="9.140625" style="273"/>
    <col min="9225" max="9225" width="4.28515625" style="273" customWidth="1"/>
    <col min="9226" max="9480" width="9.140625" style="273"/>
    <col min="9481" max="9481" width="4.28515625" style="273" customWidth="1"/>
    <col min="9482" max="9736" width="9.140625" style="273"/>
    <col min="9737" max="9737" width="4.28515625" style="273" customWidth="1"/>
    <col min="9738" max="9992" width="9.140625" style="273"/>
    <col min="9993" max="9993" width="4.28515625" style="273" customWidth="1"/>
    <col min="9994" max="10248" width="9.140625" style="273"/>
    <col min="10249" max="10249" width="4.28515625" style="273" customWidth="1"/>
    <col min="10250" max="10504" width="9.140625" style="273"/>
    <col min="10505" max="10505" width="4.28515625" style="273" customWidth="1"/>
    <col min="10506" max="10760" width="9.140625" style="273"/>
    <col min="10761" max="10761" width="4.28515625" style="273" customWidth="1"/>
    <col min="10762" max="11016" width="9.140625" style="273"/>
    <col min="11017" max="11017" width="4.28515625" style="273" customWidth="1"/>
    <col min="11018" max="11272" width="9.140625" style="273"/>
    <col min="11273" max="11273" width="4.28515625" style="273" customWidth="1"/>
    <col min="11274" max="11528" width="9.140625" style="273"/>
    <col min="11529" max="11529" width="4.28515625" style="273" customWidth="1"/>
    <col min="11530" max="11784" width="9.140625" style="273"/>
    <col min="11785" max="11785" width="4.28515625" style="273" customWidth="1"/>
    <col min="11786" max="12040" width="9.140625" style="273"/>
    <col min="12041" max="12041" width="4.28515625" style="273" customWidth="1"/>
    <col min="12042" max="12296" width="9.140625" style="273"/>
    <col min="12297" max="12297" width="4.28515625" style="273" customWidth="1"/>
    <col min="12298" max="12552" width="9.140625" style="273"/>
    <col min="12553" max="12553" width="4.28515625" style="273" customWidth="1"/>
    <col min="12554" max="12808" width="9.140625" style="273"/>
    <col min="12809" max="12809" width="4.28515625" style="273" customWidth="1"/>
    <col min="12810" max="13064" width="9.140625" style="273"/>
    <col min="13065" max="13065" width="4.28515625" style="273" customWidth="1"/>
    <col min="13066" max="13320" width="9.140625" style="273"/>
    <col min="13321" max="13321" width="4.28515625" style="273" customWidth="1"/>
    <col min="13322" max="13576" width="9.140625" style="273"/>
    <col min="13577" max="13577" width="4.28515625" style="273" customWidth="1"/>
    <col min="13578" max="13832" width="9.140625" style="273"/>
    <col min="13833" max="13833" width="4.28515625" style="273" customWidth="1"/>
    <col min="13834" max="14088" width="9.140625" style="273"/>
    <col min="14089" max="14089" width="4.28515625" style="273" customWidth="1"/>
    <col min="14090" max="14344" width="9.140625" style="273"/>
    <col min="14345" max="14345" width="4.28515625" style="273" customWidth="1"/>
    <col min="14346" max="14600" width="9.140625" style="273"/>
    <col min="14601" max="14601" width="4.28515625" style="273" customWidth="1"/>
    <col min="14602" max="14856" width="9.140625" style="273"/>
    <col min="14857" max="14857" width="4.28515625" style="273" customWidth="1"/>
    <col min="14858" max="15112" width="9.140625" style="273"/>
    <col min="15113" max="15113" width="4.28515625" style="273" customWidth="1"/>
    <col min="15114" max="15368" width="9.140625" style="273"/>
    <col min="15369" max="15369" width="4.28515625" style="273" customWidth="1"/>
    <col min="15370" max="15624" width="9.140625" style="273"/>
    <col min="15625" max="15625" width="4.28515625" style="273" customWidth="1"/>
    <col min="15626" max="15880" width="9.140625" style="273"/>
    <col min="15881" max="15881" width="4.28515625" style="273" customWidth="1"/>
    <col min="15882" max="16136" width="9.140625" style="273"/>
    <col min="16137" max="16137" width="4.28515625" style="273" customWidth="1"/>
    <col min="16138" max="16384" width="9.140625" style="273"/>
  </cols>
  <sheetData>
    <row r="1" spans="1:34" ht="15">
      <c r="A1" s="271"/>
      <c r="B1" s="252" t="s">
        <v>31</v>
      </c>
      <c r="C1" s="272"/>
      <c r="D1" s="272"/>
      <c r="E1" s="272"/>
      <c r="F1" s="272"/>
      <c r="G1" s="272"/>
      <c r="H1" s="272"/>
      <c r="I1" s="272"/>
      <c r="J1" s="272"/>
      <c r="K1" s="272"/>
      <c r="L1" s="272"/>
      <c r="M1" s="272"/>
      <c r="N1" s="272"/>
      <c r="O1" s="272"/>
      <c r="P1" s="272"/>
      <c r="AA1"/>
      <c r="AB1"/>
      <c r="AC1"/>
      <c r="AD1"/>
      <c r="AE1"/>
      <c r="AF1"/>
      <c r="AG1"/>
      <c r="AH1"/>
    </row>
    <row r="2" spans="1:34">
      <c r="A2" s="272"/>
      <c r="B2" s="253" t="s">
        <v>511</v>
      </c>
      <c r="C2" s="272"/>
      <c r="D2" s="272"/>
      <c r="E2" s="272"/>
      <c r="F2" s="272"/>
      <c r="G2" s="272"/>
      <c r="H2" s="272"/>
      <c r="I2" s="272"/>
      <c r="J2" s="272"/>
      <c r="K2" s="272"/>
      <c r="L2" s="272"/>
      <c r="M2" s="272"/>
      <c r="N2" s="272"/>
      <c r="O2" s="272"/>
      <c r="P2" s="272"/>
      <c r="AA2"/>
      <c r="AB2"/>
      <c r="AC2"/>
      <c r="AD2"/>
      <c r="AE2"/>
      <c r="AF2"/>
      <c r="AG2"/>
      <c r="AH2"/>
    </row>
    <row r="3" spans="1:34">
      <c r="A3" s="274"/>
      <c r="B3" s="272"/>
      <c r="C3" s="272"/>
      <c r="D3" s="272"/>
      <c r="E3" s="272"/>
      <c r="F3" s="272"/>
      <c r="G3" s="272"/>
      <c r="H3" s="272"/>
      <c r="I3" s="272"/>
      <c r="J3" s="272"/>
      <c r="K3" s="272"/>
      <c r="L3" s="272"/>
      <c r="M3" s="272"/>
      <c r="N3" s="272"/>
      <c r="O3" s="272"/>
      <c r="P3" s="272"/>
      <c r="R3" s="267" t="s">
        <v>512</v>
      </c>
      <c r="S3" s="268"/>
      <c r="T3" s="268"/>
      <c r="U3" s="268"/>
      <c r="V3" s="268"/>
      <c r="W3" s="268"/>
      <c r="X3" s="268"/>
      <c r="Y3" s="268"/>
      <c r="Z3" s="268"/>
      <c r="AA3" s="268"/>
      <c r="AB3"/>
      <c r="AC3"/>
      <c r="AD3"/>
      <c r="AE3"/>
      <c r="AF3"/>
      <c r="AG3"/>
      <c r="AH3"/>
    </row>
    <row r="4" spans="1:34">
      <c r="A4" s="274"/>
      <c r="B4" s="272"/>
      <c r="C4" s="272"/>
      <c r="D4" s="272"/>
      <c r="E4" s="272"/>
      <c r="F4" s="272"/>
      <c r="G4" s="272"/>
      <c r="H4" s="272"/>
      <c r="I4" s="272"/>
      <c r="J4" s="272"/>
      <c r="K4" s="272"/>
      <c r="L4" s="272"/>
      <c r="M4" s="272"/>
      <c r="N4" s="272"/>
      <c r="O4" s="272"/>
      <c r="P4" s="272"/>
      <c r="R4" s="268" t="s">
        <v>513</v>
      </c>
      <c r="S4" s="268" t="s">
        <v>514</v>
      </c>
      <c r="T4" s="268" t="s">
        <v>515</v>
      </c>
      <c r="U4" s="268" t="s">
        <v>516</v>
      </c>
      <c r="V4" s="268" t="s">
        <v>517</v>
      </c>
      <c r="W4" s="268" t="s">
        <v>518</v>
      </c>
      <c r="X4" s="268" t="s">
        <v>519</v>
      </c>
      <c r="Y4" s="268"/>
      <c r="Z4" s="268"/>
      <c r="AA4" s="268"/>
      <c r="AB4"/>
      <c r="AC4"/>
      <c r="AD4"/>
      <c r="AE4"/>
      <c r="AF4"/>
      <c r="AG4"/>
      <c r="AH4"/>
    </row>
    <row r="5" spans="1:34">
      <c r="A5" s="274"/>
      <c r="B5" s="272"/>
      <c r="C5" s="272"/>
      <c r="D5" s="272"/>
      <c r="E5" s="272"/>
      <c r="F5" s="272"/>
      <c r="G5" s="272"/>
      <c r="H5" s="272"/>
      <c r="I5" s="272"/>
      <c r="J5" s="272"/>
      <c r="K5" s="272"/>
      <c r="L5" s="272"/>
      <c r="M5" s="272"/>
      <c r="N5" s="272"/>
      <c r="O5" s="272"/>
      <c r="P5" s="272"/>
      <c r="R5" s="268">
        <v>-1</v>
      </c>
      <c r="S5" s="275">
        <v>0</v>
      </c>
      <c r="T5" s="275">
        <v>0</v>
      </c>
      <c r="U5" s="275">
        <v>0</v>
      </c>
      <c r="V5" s="275">
        <v>0</v>
      </c>
      <c r="W5" s="275">
        <v>0</v>
      </c>
      <c r="X5" s="275">
        <v>0</v>
      </c>
      <c r="Y5" s="268"/>
      <c r="Z5" s="268"/>
      <c r="AA5" s="268"/>
      <c r="AB5"/>
      <c r="AC5"/>
      <c r="AD5"/>
      <c r="AE5"/>
      <c r="AF5"/>
      <c r="AG5"/>
      <c r="AH5"/>
    </row>
    <row r="6" spans="1:34">
      <c r="A6" s="274"/>
      <c r="B6" s="272"/>
      <c r="C6" s="272"/>
      <c r="D6" s="272"/>
      <c r="E6" s="272"/>
      <c r="F6" s="272"/>
      <c r="G6" s="272"/>
      <c r="H6" s="272"/>
      <c r="I6" s="272"/>
      <c r="J6" s="272"/>
      <c r="K6" s="272"/>
      <c r="L6" s="272"/>
      <c r="M6" s="272"/>
      <c r="N6" s="272"/>
      <c r="O6" s="272"/>
      <c r="P6" s="272"/>
      <c r="R6" s="268">
        <v>0</v>
      </c>
      <c r="S6" s="275">
        <v>-0.38889161999999999</v>
      </c>
      <c r="T6" s="275">
        <v>-0.17030334999999999</v>
      </c>
      <c r="U6" s="275">
        <v>-0.60747989000000002</v>
      </c>
      <c r="V6" s="275">
        <v>-5.5352459999999999E-2</v>
      </c>
      <c r="W6" s="275">
        <v>2.6611240000000001E-2</v>
      </c>
      <c r="X6" s="275">
        <v>-0.13731615999999999</v>
      </c>
      <c r="Y6" s="268"/>
      <c r="Z6" s="268"/>
      <c r="AA6" s="268"/>
      <c r="AB6"/>
      <c r="AC6"/>
      <c r="AD6"/>
      <c r="AE6"/>
      <c r="AF6"/>
      <c r="AG6"/>
      <c r="AH6"/>
    </row>
    <row r="7" spans="1:34">
      <c r="A7" s="274"/>
      <c r="B7" s="272"/>
      <c r="C7" s="272"/>
      <c r="D7" s="272"/>
      <c r="E7" s="272"/>
      <c r="F7" s="272"/>
      <c r="G7" s="272"/>
      <c r="H7" s="272"/>
      <c r="I7" s="272"/>
      <c r="J7" s="272"/>
      <c r="K7" s="272"/>
      <c r="L7" s="272"/>
      <c r="M7" s="272"/>
      <c r="N7" s="272"/>
      <c r="O7" s="272"/>
      <c r="P7" s="272"/>
      <c r="R7" s="268">
        <v>1</v>
      </c>
      <c r="S7" s="275">
        <v>-0.62079496000000001</v>
      </c>
      <c r="T7" s="275">
        <v>-0.43699768999999999</v>
      </c>
      <c r="U7" s="275">
        <v>-0.80459221999999997</v>
      </c>
      <c r="V7" s="275">
        <v>-0.14105877</v>
      </c>
      <c r="W7" s="275">
        <v>-6.9333099999999995E-2</v>
      </c>
      <c r="X7" s="275">
        <v>-0.21278443999999999</v>
      </c>
      <c r="Y7" s="268"/>
      <c r="Z7" s="268"/>
      <c r="AA7" s="268"/>
      <c r="AB7"/>
      <c r="AC7"/>
      <c r="AD7"/>
      <c r="AE7"/>
      <c r="AF7"/>
      <c r="AG7"/>
      <c r="AH7"/>
    </row>
    <row r="8" spans="1:34">
      <c r="A8" s="274"/>
      <c r="B8" s="272"/>
      <c r="C8" s="272"/>
      <c r="D8" s="272"/>
      <c r="E8" s="272"/>
      <c r="F8" s="272"/>
      <c r="G8" s="272"/>
      <c r="H8" s="272"/>
      <c r="I8" s="272"/>
      <c r="J8" s="272"/>
      <c r="K8" s="272"/>
      <c r="L8" s="272"/>
      <c r="M8" s="272"/>
      <c r="N8" s="272"/>
      <c r="O8" s="272"/>
      <c r="P8" s="272"/>
      <c r="R8" s="268">
        <v>2</v>
      </c>
      <c r="S8" s="275">
        <v>-0.59973807000000001</v>
      </c>
      <c r="T8" s="275">
        <v>-0.34256708000000002</v>
      </c>
      <c r="U8" s="275">
        <v>-0.85690906</v>
      </c>
      <c r="V8" s="275">
        <v>-0.23442798000000001</v>
      </c>
      <c r="W8" s="275">
        <v>-0.13870392000000001</v>
      </c>
      <c r="X8" s="275">
        <v>-0.33015203999999998</v>
      </c>
      <c r="Y8" s="268"/>
      <c r="Z8" s="268"/>
      <c r="AA8" s="268"/>
      <c r="AB8"/>
      <c r="AC8"/>
      <c r="AD8"/>
      <c r="AE8"/>
      <c r="AF8"/>
      <c r="AG8"/>
      <c r="AH8"/>
    </row>
    <row r="9" spans="1:34">
      <c r="A9" s="274"/>
      <c r="B9" s="272"/>
      <c r="C9" s="272"/>
      <c r="D9" s="272"/>
      <c r="E9" s="272"/>
      <c r="F9" s="272"/>
      <c r="G9" s="272"/>
      <c r="H9" s="272"/>
      <c r="I9" s="272"/>
      <c r="J9" s="272"/>
      <c r="K9" s="272"/>
      <c r="L9" s="272"/>
      <c r="M9" s="272"/>
      <c r="N9" s="272"/>
      <c r="O9" s="272"/>
      <c r="P9" s="272"/>
      <c r="R9" s="268">
        <v>3</v>
      </c>
      <c r="S9" s="275">
        <v>-0.66591458999999997</v>
      </c>
      <c r="T9" s="275">
        <v>-0.41971286000000002</v>
      </c>
      <c r="U9" s="275">
        <v>-0.91211631999999998</v>
      </c>
      <c r="V9" s="275">
        <v>-0.27934318000000002</v>
      </c>
      <c r="W9" s="275">
        <v>-0.14634969</v>
      </c>
      <c r="X9" s="275">
        <v>-0.41233666000000002</v>
      </c>
      <c r="Y9" s="268"/>
      <c r="Z9" s="268"/>
      <c r="AA9" s="268"/>
      <c r="AB9"/>
      <c r="AC9"/>
      <c r="AD9"/>
      <c r="AE9"/>
      <c r="AF9"/>
      <c r="AG9"/>
      <c r="AH9"/>
    </row>
    <row r="10" spans="1:34">
      <c r="A10" s="274"/>
      <c r="B10" s="272"/>
      <c r="C10" s="272"/>
      <c r="D10" s="272"/>
      <c r="E10" s="272"/>
      <c r="F10" s="272"/>
      <c r="G10" s="272"/>
      <c r="H10" s="272"/>
      <c r="I10" s="272"/>
      <c r="J10" s="272"/>
      <c r="K10" s="272"/>
      <c r="L10" s="272"/>
      <c r="M10" s="272"/>
      <c r="N10" s="272"/>
      <c r="O10" s="272"/>
      <c r="P10" s="272"/>
      <c r="R10" s="268">
        <v>4</v>
      </c>
      <c r="S10" s="275">
        <v>-0.60767541000000003</v>
      </c>
      <c r="T10" s="275">
        <v>-0.36788601999999998</v>
      </c>
      <c r="U10" s="275">
        <v>-0.84746480000000002</v>
      </c>
      <c r="V10" s="275">
        <v>-0.27377219000000003</v>
      </c>
      <c r="W10" s="275">
        <v>-0.11958920000000001</v>
      </c>
      <c r="X10" s="275">
        <v>-0.42795518999999999</v>
      </c>
      <c r="Y10" s="268"/>
      <c r="Z10" s="268"/>
      <c r="AA10" s="268"/>
      <c r="AB10"/>
      <c r="AC10"/>
      <c r="AD10"/>
      <c r="AE10"/>
      <c r="AF10"/>
      <c r="AG10"/>
      <c r="AH10"/>
    </row>
    <row r="11" spans="1:34">
      <c r="A11" s="272"/>
      <c r="B11" s="272"/>
      <c r="C11" s="272"/>
      <c r="D11" s="272"/>
      <c r="E11" s="272"/>
      <c r="F11" s="272"/>
      <c r="G11" s="272"/>
      <c r="H11" s="272"/>
      <c r="I11" s="272"/>
      <c r="J11" s="272"/>
      <c r="K11" s="272"/>
      <c r="L11" s="272"/>
      <c r="M11" s="272"/>
      <c r="N11" s="272"/>
      <c r="O11" s="272"/>
      <c r="P11" s="272"/>
      <c r="R11" s="268">
        <v>5</v>
      </c>
      <c r="S11" s="275">
        <v>-0.65047085000000004</v>
      </c>
      <c r="T11" s="275">
        <v>-0.35715624000000001</v>
      </c>
      <c r="U11" s="275">
        <v>-0.94378545999999996</v>
      </c>
      <c r="V11" s="275">
        <v>-0.20808283999999999</v>
      </c>
      <c r="W11" s="275">
        <v>-5.3169210000000001E-2</v>
      </c>
      <c r="X11" s="275">
        <v>-0.36299647000000002</v>
      </c>
      <c r="Y11" s="268"/>
      <c r="Z11" s="268"/>
      <c r="AA11" s="268"/>
      <c r="AB11"/>
      <c r="AC11"/>
      <c r="AD11"/>
      <c r="AE11"/>
      <c r="AF11"/>
      <c r="AG11"/>
      <c r="AH11"/>
    </row>
    <row r="12" spans="1:34">
      <c r="A12" s="274"/>
      <c r="B12" s="272"/>
      <c r="C12" s="272"/>
      <c r="D12" s="272"/>
      <c r="E12" s="272"/>
      <c r="F12" s="272"/>
      <c r="G12" s="272"/>
      <c r="H12" s="272"/>
      <c r="I12" s="272"/>
      <c r="J12" s="272"/>
      <c r="K12" s="271"/>
      <c r="L12" s="272"/>
      <c r="M12" s="272"/>
      <c r="N12" s="272"/>
      <c r="O12" s="272"/>
      <c r="P12" s="272"/>
      <c r="R12" s="268"/>
      <c r="S12" s="268"/>
      <c r="T12" s="268"/>
      <c r="U12" s="268"/>
      <c r="V12" s="268"/>
      <c r="W12" s="268"/>
      <c r="X12" s="268"/>
      <c r="Y12" s="268"/>
      <c r="Z12" s="268"/>
      <c r="AA12" s="268"/>
      <c r="AB12"/>
      <c r="AC12"/>
      <c r="AD12"/>
      <c r="AE12"/>
      <c r="AF12"/>
      <c r="AG12"/>
      <c r="AH12"/>
    </row>
    <row r="13" spans="1:34">
      <c r="A13" s="274"/>
      <c r="B13" s="272"/>
      <c r="C13" s="272"/>
      <c r="D13" s="272"/>
      <c r="E13" s="272"/>
      <c r="F13" s="272"/>
      <c r="G13" s="272"/>
      <c r="H13" s="272"/>
      <c r="I13" s="272"/>
      <c r="J13" s="272"/>
      <c r="K13" s="272"/>
      <c r="L13" s="272"/>
      <c r="M13" s="272"/>
      <c r="N13" s="272"/>
      <c r="O13" s="272"/>
      <c r="P13" s="272"/>
      <c r="R13" s="268"/>
      <c r="S13" s="268"/>
      <c r="T13" s="268"/>
      <c r="U13" s="268"/>
      <c r="V13" s="268"/>
      <c r="W13" s="268"/>
      <c r="X13" s="268"/>
      <c r="Y13" s="268"/>
      <c r="Z13" s="268"/>
      <c r="AA13" s="268"/>
      <c r="AB13"/>
      <c r="AC13"/>
      <c r="AD13"/>
      <c r="AE13"/>
      <c r="AF13"/>
      <c r="AG13"/>
      <c r="AH13"/>
    </row>
    <row r="14" spans="1:34">
      <c r="A14" s="274"/>
      <c r="B14" s="272"/>
      <c r="C14" s="272"/>
      <c r="D14" s="272"/>
      <c r="E14" s="272"/>
      <c r="F14" s="272"/>
      <c r="G14" s="272"/>
      <c r="H14" s="272"/>
      <c r="I14" s="272"/>
      <c r="J14" s="272"/>
      <c r="K14" s="272"/>
      <c r="L14" s="272"/>
      <c r="M14" s="272"/>
      <c r="N14" s="272"/>
      <c r="O14" s="272"/>
      <c r="P14" s="272"/>
      <c r="R14" s="267" t="s">
        <v>520</v>
      </c>
      <c r="S14" s="268"/>
      <c r="T14" s="268"/>
      <c r="U14" s="268"/>
      <c r="V14" s="268"/>
      <c r="W14" s="268"/>
      <c r="X14" s="268"/>
      <c r="Y14" s="268"/>
      <c r="Z14" s="268"/>
      <c r="AA14" s="268"/>
      <c r="AB14"/>
      <c r="AC14"/>
      <c r="AD14"/>
      <c r="AE14"/>
      <c r="AF14"/>
      <c r="AG14"/>
      <c r="AH14"/>
    </row>
    <row r="15" spans="1:34">
      <c r="A15" s="274"/>
      <c r="B15" s="272"/>
      <c r="C15" s="272"/>
      <c r="D15" s="272"/>
      <c r="E15" s="272"/>
      <c r="F15" s="272"/>
      <c r="G15" s="272"/>
      <c r="H15" s="272"/>
      <c r="I15" s="272"/>
      <c r="J15" s="272"/>
      <c r="K15" s="272"/>
      <c r="L15" s="272"/>
      <c r="M15" s="272"/>
      <c r="N15" s="272"/>
      <c r="O15" s="272"/>
      <c r="P15" s="272"/>
      <c r="R15" s="268" t="s">
        <v>513</v>
      </c>
      <c r="S15" s="268" t="s">
        <v>521</v>
      </c>
      <c r="T15" s="268" t="s">
        <v>522</v>
      </c>
      <c r="U15" s="268" t="s">
        <v>523</v>
      </c>
      <c r="V15" s="268"/>
      <c r="W15" s="268"/>
      <c r="X15" s="268"/>
      <c r="Y15" s="268"/>
      <c r="Z15" s="268"/>
      <c r="AA15" s="268"/>
      <c r="AB15"/>
      <c r="AC15"/>
      <c r="AD15"/>
      <c r="AE15"/>
      <c r="AF15"/>
      <c r="AG15"/>
      <c r="AH15"/>
    </row>
    <row r="16" spans="1:34">
      <c r="A16" s="274"/>
      <c r="B16" s="272"/>
      <c r="C16" s="272"/>
      <c r="D16" s="272"/>
      <c r="E16" s="272"/>
      <c r="F16" s="272"/>
      <c r="G16" s="272"/>
      <c r="H16" s="272"/>
      <c r="I16" s="272"/>
      <c r="J16" s="272"/>
      <c r="K16" s="272"/>
      <c r="L16" s="272"/>
      <c r="M16" s="272"/>
      <c r="N16" s="272"/>
      <c r="O16" s="272"/>
      <c r="P16" s="272"/>
      <c r="R16" s="268">
        <v>-1</v>
      </c>
      <c r="S16" s="275">
        <v>0</v>
      </c>
      <c r="T16" s="275">
        <v>0</v>
      </c>
      <c r="U16" s="275">
        <v>0</v>
      </c>
      <c r="V16" s="268"/>
      <c r="W16" s="268"/>
      <c r="X16" s="268"/>
      <c r="Y16" s="268"/>
      <c r="Z16" s="268"/>
      <c r="AA16" s="268"/>
      <c r="AB16"/>
      <c r="AC16"/>
      <c r="AD16"/>
      <c r="AE16"/>
      <c r="AF16"/>
      <c r="AG16"/>
      <c r="AH16"/>
    </row>
    <row r="17" spans="1:34">
      <c r="A17" s="274"/>
      <c r="B17" s="272"/>
      <c r="C17" s="272"/>
      <c r="D17" s="272"/>
      <c r="E17" s="272"/>
      <c r="F17" s="272"/>
      <c r="G17" s="272"/>
      <c r="H17" s="272"/>
      <c r="I17" s="272"/>
      <c r="J17" s="272"/>
      <c r="K17" s="272"/>
      <c r="L17" s="272"/>
      <c r="M17" s="272"/>
      <c r="N17" s="272"/>
      <c r="O17" s="272"/>
      <c r="P17" s="272"/>
      <c r="R17" s="268">
        <v>0</v>
      </c>
      <c r="S17" s="275">
        <v>0.1082202</v>
      </c>
      <c r="T17" s="275">
        <v>0.19647012999999999</v>
      </c>
      <c r="U17" s="275">
        <v>1.997028E-2</v>
      </c>
      <c r="V17" s="268"/>
      <c r="W17" s="268"/>
      <c r="X17" s="268"/>
      <c r="Y17" s="268"/>
      <c r="Z17" s="268"/>
      <c r="AA17" s="268"/>
      <c r="AB17"/>
      <c r="AC17"/>
      <c r="AD17"/>
      <c r="AE17"/>
      <c r="AF17"/>
      <c r="AG17"/>
      <c r="AH17"/>
    </row>
    <row r="18" spans="1:34">
      <c r="A18" s="274"/>
      <c r="B18" s="272"/>
      <c r="C18" s="272"/>
      <c r="D18" s="272"/>
      <c r="E18" s="272"/>
      <c r="F18" s="272"/>
      <c r="G18" s="272"/>
      <c r="H18" s="272"/>
      <c r="I18" s="272"/>
      <c r="J18" s="272"/>
      <c r="K18" s="272"/>
      <c r="L18" s="272"/>
      <c r="M18" s="272"/>
      <c r="N18" s="272"/>
      <c r="O18" s="272"/>
      <c r="P18" s="272"/>
      <c r="R18" s="268">
        <v>1</v>
      </c>
      <c r="S18" s="275">
        <v>0.16886618</v>
      </c>
      <c r="T18" s="275">
        <v>0.22870420999999999</v>
      </c>
      <c r="U18" s="275">
        <v>0.10902815</v>
      </c>
      <c r="V18" s="268"/>
      <c r="W18" s="268"/>
      <c r="X18" s="268"/>
      <c r="Y18" s="268"/>
      <c r="Z18" s="268"/>
      <c r="AA18" s="268"/>
      <c r="AB18"/>
      <c r="AC18"/>
      <c r="AD18"/>
      <c r="AE18"/>
      <c r="AF18"/>
      <c r="AG18"/>
      <c r="AH18"/>
    </row>
    <row r="19" spans="1:34">
      <c r="A19" s="272"/>
      <c r="B19" s="272"/>
      <c r="C19" s="272"/>
      <c r="D19" s="272"/>
      <c r="E19" s="272"/>
      <c r="F19" s="272"/>
      <c r="G19" s="272"/>
      <c r="H19" s="272"/>
      <c r="I19" s="272"/>
      <c r="J19" s="272"/>
      <c r="K19" s="272"/>
      <c r="L19" s="272"/>
      <c r="M19" s="272"/>
      <c r="N19" s="272"/>
      <c r="O19" s="272"/>
      <c r="P19" s="272"/>
      <c r="R19" s="268">
        <v>2</v>
      </c>
      <c r="S19" s="275">
        <v>0.17660312</v>
      </c>
      <c r="T19" s="275">
        <v>0.32985532000000001</v>
      </c>
      <c r="U19" s="275">
        <v>2.3350909999999999E-2</v>
      </c>
      <c r="V19" s="268"/>
      <c r="W19" s="268"/>
      <c r="X19" s="268"/>
      <c r="Y19" s="268"/>
      <c r="Z19" s="268"/>
      <c r="AA19" s="268"/>
      <c r="AB19"/>
      <c r="AC19"/>
      <c r="AD19"/>
      <c r="AE19"/>
      <c r="AF19"/>
      <c r="AG19"/>
      <c r="AH19"/>
    </row>
    <row r="20" spans="1:34">
      <c r="A20" s="272"/>
      <c r="B20" s="272"/>
      <c r="C20" s="272"/>
      <c r="D20" s="272"/>
      <c r="E20" s="272"/>
      <c r="F20" s="272"/>
      <c r="G20" s="272"/>
      <c r="H20" s="272"/>
      <c r="I20" s="272"/>
      <c r="J20" s="272"/>
      <c r="K20" s="272"/>
      <c r="L20" s="272"/>
      <c r="M20" s="272"/>
      <c r="N20" s="272"/>
      <c r="O20" s="272"/>
      <c r="P20" s="272"/>
      <c r="R20" s="268">
        <v>3</v>
      </c>
      <c r="S20" s="275">
        <v>0.110139</v>
      </c>
      <c r="T20" s="275">
        <v>0.20971187999999999</v>
      </c>
      <c r="U20" s="275">
        <v>1.056612E-2</v>
      </c>
      <c r="V20" s="268"/>
      <c r="W20" s="268"/>
      <c r="X20" s="268"/>
      <c r="Y20" s="268"/>
      <c r="Z20" s="268"/>
      <c r="AA20" s="268"/>
      <c r="AB20"/>
      <c r="AC20"/>
      <c r="AD20"/>
      <c r="AE20"/>
      <c r="AF20"/>
      <c r="AG20"/>
      <c r="AH20"/>
    </row>
    <row r="21" spans="1:34">
      <c r="A21" s="272"/>
      <c r="B21" s="272"/>
      <c r="C21" s="272"/>
      <c r="D21" s="272"/>
      <c r="E21" s="272"/>
      <c r="F21" s="272"/>
      <c r="G21" s="272"/>
      <c r="H21" s="272"/>
      <c r="I21" s="272"/>
      <c r="J21" s="272"/>
      <c r="K21" s="272"/>
      <c r="L21" s="272"/>
      <c r="M21" s="272"/>
      <c r="N21" s="272"/>
      <c r="O21" s="272"/>
      <c r="P21" s="272"/>
      <c r="R21" s="268">
        <v>4</v>
      </c>
      <c r="S21" s="275">
        <v>1.35535E-3</v>
      </c>
      <c r="T21" s="275">
        <v>4.9444490000000001E-2</v>
      </c>
      <c r="U21" s="275">
        <v>-4.6733799999999999E-2</v>
      </c>
      <c r="V21" s="268"/>
      <c r="W21" s="268"/>
      <c r="X21" s="268"/>
      <c r="Y21" s="268"/>
      <c r="Z21" s="268"/>
      <c r="AA21" s="268"/>
      <c r="AB21"/>
      <c r="AC21"/>
      <c r="AD21"/>
      <c r="AE21"/>
      <c r="AF21"/>
      <c r="AG21"/>
      <c r="AH21"/>
    </row>
    <row r="22" spans="1:34">
      <c r="A22" s="272"/>
      <c r="B22" s="272"/>
      <c r="C22" s="272"/>
      <c r="D22" s="272"/>
      <c r="E22" s="272"/>
      <c r="F22" s="272"/>
      <c r="G22" s="272"/>
      <c r="H22" s="272"/>
      <c r="I22" s="272"/>
      <c r="J22" s="272"/>
      <c r="K22" s="272"/>
      <c r="L22" s="272"/>
      <c r="M22" s="272"/>
      <c r="N22" s="272"/>
      <c r="O22" s="272"/>
      <c r="P22" s="272"/>
      <c r="R22" s="268">
        <v>5</v>
      </c>
      <c r="S22" s="275">
        <v>4.1208250000000002E-2</v>
      </c>
      <c r="T22" s="275">
        <v>0.13556298</v>
      </c>
      <c r="U22" s="275">
        <v>-5.3146470000000001E-2</v>
      </c>
      <c r="V22" s="268"/>
      <c r="W22" s="268"/>
      <c r="X22" s="268"/>
      <c r="Y22" s="268"/>
      <c r="Z22" s="268"/>
      <c r="AA22" s="268"/>
      <c r="AB22"/>
      <c r="AC22"/>
      <c r="AD22"/>
      <c r="AE22"/>
      <c r="AF22"/>
      <c r="AG22"/>
      <c r="AH22"/>
    </row>
    <row r="23" spans="1:34">
      <c r="A23" s="272"/>
      <c r="B23" s="272"/>
      <c r="C23" s="272"/>
      <c r="D23" s="272"/>
      <c r="E23" s="272"/>
      <c r="F23" s="272"/>
      <c r="G23" s="272"/>
      <c r="H23" s="272"/>
      <c r="I23" s="272"/>
      <c r="J23" s="272"/>
      <c r="K23" s="272"/>
      <c r="L23" s="272"/>
      <c r="M23" s="272"/>
      <c r="N23" s="272"/>
      <c r="O23" s="272"/>
      <c r="P23" s="272"/>
      <c r="R23"/>
      <c r="S23"/>
      <c r="T23"/>
      <c r="U23"/>
      <c r="V23"/>
      <c r="W23"/>
      <c r="X23"/>
      <c r="Y23"/>
      <c r="Z23"/>
      <c r="AA23"/>
      <c r="AB23"/>
      <c r="AC23"/>
      <c r="AD23"/>
      <c r="AE23"/>
      <c r="AF23"/>
      <c r="AG23"/>
      <c r="AH23"/>
    </row>
    <row r="24" spans="1:34">
      <c r="A24" s="272"/>
      <c r="B24" s="272"/>
      <c r="C24" s="272"/>
      <c r="D24" s="272"/>
      <c r="E24" s="272"/>
      <c r="F24" s="272"/>
      <c r="G24" s="272"/>
      <c r="H24" s="272"/>
      <c r="I24" s="272"/>
      <c r="J24" s="272"/>
      <c r="K24" s="272"/>
      <c r="L24" s="272"/>
      <c r="M24" s="272"/>
      <c r="N24" s="272"/>
      <c r="O24" s="272"/>
      <c r="P24" s="272"/>
      <c r="R24"/>
      <c r="S24"/>
      <c r="T24"/>
      <c r="U24"/>
      <c r="V24"/>
      <c r="W24"/>
      <c r="X24"/>
      <c r="Y24"/>
      <c r="Z24"/>
      <c r="AA24"/>
      <c r="AB24"/>
      <c r="AC24"/>
      <c r="AD24"/>
      <c r="AE24"/>
      <c r="AF24"/>
      <c r="AG24"/>
      <c r="AH24"/>
    </row>
    <row r="25" spans="1:34">
      <c r="A25" s="272"/>
      <c r="B25" s="272"/>
      <c r="C25" s="272"/>
      <c r="D25" s="272"/>
      <c r="E25" s="272"/>
      <c r="F25" s="272"/>
      <c r="G25" s="272"/>
      <c r="H25" s="272"/>
      <c r="I25" s="272"/>
      <c r="J25" s="272"/>
      <c r="K25" s="272"/>
      <c r="L25" s="272"/>
      <c r="M25" s="272"/>
      <c r="N25" s="272"/>
      <c r="O25" s="272"/>
      <c r="P25" s="272"/>
      <c r="R25"/>
      <c r="S25"/>
      <c r="T25"/>
      <c r="U25"/>
      <c r="V25"/>
      <c r="W25"/>
      <c r="X25"/>
      <c r="Y25"/>
      <c r="Z25"/>
      <c r="AA25"/>
      <c r="AB25"/>
      <c r="AC25"/>
      <c r="AD25"/>
      <c r="AE25"/>
      <c r="AF25"/>
      <c r="AG25"/>
      <c r="AH25"/>
    </row>
    <row r="26" spans="1:34">
      <c r="A26" s="272"/>
      <c r="B26" s="272"/>
      <c r="C26" s="272"/>
      <c r="D26" s="272"/>
      <c r="E26" s="272"/>
      <c r="F26" s="272"/>
      <c r="G26" s="272"/>
      <c r="H26" s="272"/>
      <c r="I26" s="272"/>
      <c r="J26" s="272"/>
      <c r="K26" s="272"/>
      <c r="L26" s="272"/>
      <c r="M26" s="272"/>
      <c r="N26" s="272"/>
      <c r="O26" s="272"/>
      <c r="P26" s="272"/>
      <c r="R26"/>
      <c r="S26"/>
      <c r="T26"/>
      <c r="U26"/>
      <c r="V26"/>
      <c r="W26"/>
      <c r="X26"/>
      <c r="Y26"/>
      <c r="Z26"/>
      <c r="AA26"/>
      <c r="AB26"/>
      <c r="AC26"/>
      <c r="AD26"/>
      <c r="AE26"/>
      <c r="AF26"/>
      <c r="AG26"/>
      <c r="AH26"/>
    </row>
    <row r="27" spans="1:34">
      <c r="R27"/>
      <c r="S27"/>
      <c r="T27"/>
      <c r="U27"/>
      <c r="V27"/>
      <c r="W27"/>
      <c r="X27"/>
      <c r="Y27"/>
      <c r="Z27"/>
      <c r="AA27"/>
      <c r="AB27"/>
      <c r="AC27"/>
      <c r="AD27"/>
      <c r="AE27"/>
      <c r="AF27"/>
      <c r="AG27"/>
      <c r="AH27"/>
    </row>
    <row r="28" spans="1:34">
      <c r="R28"/>
      <c r="S28"/>
      <c r="T28"/>
      <c r="U28"/>
      <c r="V28"/>
      <c r="W28"/>
      <c r="X28"/>
      <c r="Y28"/>
      <c r="Z28"/>
      <c r="AA28"/>
      <c r="AB28"/>
      <c r="AC28"/>
      <c r="AD28"/>
      <c r="AE28"/>
      <c r="AF28"/>
      <c r="AG28"/>
      <c r="AH28"/>
    </row>
    <row r="29" spans="1:34">
      <c r="R29"/>
      <c r="S29"/>
      <c r="T29"/>
      <c r="U29"/>
      <c r="V29"/>
      <c r="W29"/>
      <c r="X29"/>
      <c r="Y29"/>
      <c r="Z29"/>
      <c r="AA29"/>
      <c r="AB29"/>
      <c r="AC29"/>
      <c r="AD29"/>
      <c r="AE29"/>
      <c r="AF29"/>
      <c r="AG29"/>
      <c r="AH29"/>
    </row>
  </sheetData>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9C03-570B-4F99-A5E3-37CF2FF40415}">
  <dimension ref="A1:AH29"/>
  <sheetViews>
    <sheetView zoomScaleNormal="100" workbookViewId="0">
      <selection activeCell="B88" sqref="B88:K88"/>
    </sheetView>
  </sheetViews>
  <sheetFormatPr defaultColWidth="9.140625" defaultRowHeight="12.75"/>
  <cols>
    <col min="1" max="264" width="9.140625" style="273"/>
    <col min="265" max="265" width="4.28515625" style="273" customWidth="1"/>
    <col min="266" max="520" width="9.140625" style="273"/>
    <col min="521" max="521" width="4.28515625" style="273" customWidth="1"/>
    <col min="522" max="776" width="9.140625" style="273"/>
    <col min="777" max="777" width="4.28515625" style="273" customWidth="1"/>
    <col min="778" max="1032" width="9.140625" style="273"/>
    <col min="1033" max="1033" width="4.28515625" style="273" customWidth="1"/>
    <col min="1034" max="1288" width="9.140625" style="273"/>
    <col min="1289" max="1289" width="4.28515625" style="273" customWidth="1"/>
    <col min="1290" max="1544" width="9.140625" style="273"/>
    <col min="1545" max="1545" width="4.28515625" style="273" customWidth="1"/>
    <col min="1546" max="1800" width="9.140625" style="273"/>
    <col min="1801" max="1801" width="4.28515625" style="273" customWidth="1"/>
    <col min="1802" max="2056" width="9.140625" style="273"/>
    <col min="2057" max="2057" width="4.28515625" style="273" customWidth="1"/>
    <col min="2058" max="2312" width="9.140625" style="273"/>
    <col min="2313" max="2313" width="4.28515625" style="273" customWidth="1"/>
    <col min="2314" max="2568" width="9.140625" style="273"/>
    <col min="2569" max="2569" width="4.28515625" style="273" customWidth="1"/>
    <col min="2570" max="2824" width="9.140625" style="273"/>
    <col min="2825" max="2825" width="4.28515625" style="273" customWidth="1"/>
    <col min="2826" max="3080" width="9.140625" style="273"/>
    <col min="3081" max="3081" width="4.28515625" style="273" customWidth="1"/>
    <col min="3082" max="3336" width="9.140625" style="273"/>
    <col min="3337" max="3337" width="4.28515625" style="273" customWidth="1"/>
    <col min="3338" max="3592" width="9.140625" style="273"/>
    <col min="3593" max="3593" width="4.28515625" style="273" customWidth="1"/>
    <col min="3594" max="3848" width="9.140625" style="273"/>
    <col min="3849" max="3849" width="4.28515625" style="273" customWidth="1"/>
    <col min="3850" max="4104" width="9.140625" style="273"/>
    <col min="4105" max="4105" width="4.28515625" style="273" customWidth="1"/>
    <col min="4106" max="4360" width="9.140625" style="273"/>
    <col min="4361" max="4361" width="4.28515625" style="273" customWidth="1"/>
    <col min="4362" max="4616" width="9.140625" style="273"/>
    <col min="4617" max="4617" width="4.28515625" style="273" customWidth="1"/>
    <col min="4618" max="4872" width="9.140625" style="273"/>
    <col min="4873" max="4873" width="4.28515625" style="273" customWidth="1"/>
    <col min="4874" max="5128" width="9.140625" style="273"/>
    <col min="5129" max="5129" width="4.28515625" style="273" customWidth="1"/>
    <col min="5130" max="5384" width="9.140625" style="273"/>
    <col min="5385" max="5385" width="4.28515625" style="273" customWidth="1"/>
    <col min="5386" max="5640" width="9.140625" style="273"/>
    <col min="5641" max="5641" width="4.28515625" style="273" customWidth="1"/>
    <col min="5642" max="5896" width="9.140625" style="273"/>
    <col min="5897" max="5897" width="4.28515625" style="273" customWidth="1"/>
    <col min="5898" max="6152" width="9.140625" style="273"/>
    <col min="6153" max="6153" width="4.28515625" style="273" customWidth="1"/>
    <col min="6154" max="6408" width="9.140625" style="273"/>
    <col min="6409" max="6409" width="4.28515625" style="273" customWidth="1"/>
    <col min="6410" max="6664" width="9.140625" style="273"/>
    <col min="6665" max="6665" width="4.28515625" style="273" customWidth="1"/>
    <col min="6666" max="6920" width="9.140625" style="273"/>
    <col min="6921" max="6921" width="4.28515625" style="273" customWidth="1"/>
    <col min="6922" max="7176" width="9.140625" style="273"/>
    <col min="7177" max="7177" width="4.28515625" style="273" customWidth="1"/>
    <col min="7178" max="7432" width="9.140625" style="273"/>
    <col min="7433" max="7433" width="4.28515625" style="273" customWidth="1"/>
    <col min="7434" max="7688" width="9.140625" style="273"/>
    <col min="7689" max="7689" width="4.28515625" style="273" customWidth="1"/>
    <col min="7690" max="7944" width="9.140625" style="273"/>
    <col min="7945" max="7945" width="4.28515625" style="273" customWidth="1"/>
    <col min="7946" max="8200" width="9.140625" style="273"/>
    <col min="8201" max="8201" width="4.28515625" style="273" customWidth="1"/>
    <col min="8202" max="8456" width="9.140625" style="273"/>
    <col min="8457" max="8457" width="4.28515625" style="273" customWidth="1"/>
    <col min="8458" max="8712" width="9.140625" style="273"/>
    <col min="8713" max="8713" width="4.28515625" style="273" customWidth="1"/>
    <col min="8714" max="8968" width="9.140625" style="273"/>
    <col min="8969" max="8969" width="4.28515625" style="273" customWidth="1"/>
    <col min="8970" max="9224" width="9.140625" style="273"/>
    <col min="9225" max="9225" width="4.28515625" style="273" customWidth="1"/>
    <col min="9226" max="9480" width="9.140625" style="273"/>
    <col min="9481" max="9481" width="4.28515625" style="273" customWidth="1"/>
    <col min="9482" max="9736" width="9.140625" style="273"/>
    <col min="9737" max="9737" width="4.28515625" style="273" customWidth="1"/>
    <col min="9738" max="9992" width="9.140625" style="273"/>
    <col min="9993" max="9993" width="4.28515625" style="273" customWidth="1"/>
    <col min="9994" max="10248" width="9.140625" style="273"/>
    <col min="10249" max="10249" width="4.28515625" style="273" customWidth="1"/>
    <col min="10250" max="10504" width="9.140625" style="273"/>
    <col min="10505" max="10505" width="4.28515625" style="273" customWidth="1"/>
    <col min="10506" max="10760" width="9.140625" style="273"/>
    <col min="10761" max="10761" width="4.28515625" style="273" customWidth="1"/>
    <col min="10762" max="11016" width="9.140625" style="273"/>
    <col min="11017" max="11017" width="4.28515625" style="273" customWidth="1"/>
    <col min="11018" max="11272" width="9.140625" style="273"/>
    <col min="11273" max="11273" width="4.28515625" style="273" customWidth="1"/>
    <col min="11274" max="11528" width="9.140625" style="273"/>
    <col min="11529" max="11529" width="4.28515625" style="273" customWidth="1"/>
    <col min="11530" max="11784" width="9.140625" style="273"/>
    <col min="11785" max="11785" width="4.28515625" style="273" customWidth="1"/>
    <col min="11786" max="12040" width="9.140625" style="273"/>
    <col min="12041" max="12041" width="4.28515625" style="273" customWidth="1"/>
    <col min="12042" max="12296" width="9.140625" style="273"/>
    <col min="12297" max="12297" width="4.28515625" style="273" customWidth="1"/>
    <col min="12298" max="12552" width="9.140625" style="273"/>
    <col min="12553" max="12553" width="4.28515625" style="273" customWidth="1"/>
    <col min="12554" max="12808" width="9.140625" style="273"/>
    <col min="12809" max="12809" width="4.28515625" style="273" customWidth="1"/>
    <col min="12810" max="13064" width="9.140625" style="273"/>
    <col min="13065" max="13065" width="4.28515625" style="273" customWidth="1"/>
    <col min="13066" max="13320" width="9.140625" style="273"/>
    <col min="13321" max="13321" width="4.28515625" style="273" customWidth="1"/>
    <col min="13322" max="13576" width="9.140625" style="273"/>
    <col min="13577" max="13577" width="4.28515625" style="273" customWidth="1"/>
    <col min="13578" max="13832" width="9.140625" style="273"/>
    <col min="13833" max="13833" width="4.28515625" style="273" customWidth="1"/>
    <col min="13834" max="14088" width="9.140625" style="273"/>
    <col min="14089" max="14089" width="4.28515625" style="273" customWidth="1"/>
    <col min="14090" max="14344" width="9.140625" style="273"/>
    <col min="14345" max="14345" width="4.28515625" style="273" customWidth="1"/>
    <col min="14346" max="14600" width="9.140625" style="273"/>
    <col min="14601" max="14601" width="4.28515625" style="273" customWidth="1"/>
    <col min="14602" max="14856" width="9.140625" style="273"/>
    <col min="14857" max="14857" width="4.28515625" style="273" customWidth="1"/>
    <col min="14858" max="15112" width="9.140625" style="273"/>
    <col min="15113" max="15113" width="4.28515625" style="273" customWidth="1"/>
    <col min="15114" max="15368" width="9.140625" style="273"/>
    <col min="15369" max="15369" width="4.28515625" style="273" customWidth="1"/>
    <col min="15370" max="15624" width="9.140625" style="273"/>
    <col min="15625" max="15625" width="4.28515625" style="273" customWidth="1"/>
    <col min="15626" max="15880" width="9.140625" style="273"/>
    <col min="15881" max="15881" width="4.28515625" style="273" customWidth="1"/>
    <col min="15882" max="16136" width="9.140625" style="273"/>
    <col min="16137" max="16137" width="4.28515625" style="273" customWidth="1"/>
    <col min="16138" max="16384" width="9.140625" style="273"/>
  </cols>
  <sheetData>
    <row r="1" spans="1:34" ht="15">
      <c r="A1" s="272"/>
      <c r="B1" s="252" t="s">
        <v>524</v>
      </c>
      <c r="C1" s="272"/>
      <c r="D1" s="272"/>
      <c r="E1" s="272"/>
      <c r="F1" s="272"/>
      <c r="G1" s="272"/>
      <c r="H1" s="272"/>
      <c r="I1" s="272"/>
      <c r="J1" s="272"/>
      <c r="K1" s="272"/>
      <c r="L1" s="272"/>
      <c r="M1" s="272"/>
      <c r="N1" s="272"/>
      <c r="O1" s="272"/>
      <c r="P1" s="272"/>
      <c r="AA1"/>
      <c r="AB1"/>
      <c r="AC1"/>
      <c r="AD1"/>
      <c r="AE1"/>
      <c r="AF1"/>
      <c r="AG1"/>
      <c r="AH1"/>
    </row>
    <row r="2" spans="1:34">
      <c r="A2" s="272"/>
      <c r="B2" s="253" t="s">
        <v>511</v>
      </c>
      <c r="C2" s="272"/>
      <c r="D2" s="272"/>
      <c r="E2" s="272"/>
      <c r="F2" s="272"/>
      <c r="G2" s="272"/>
      <c r="H2" s="272"/>
      <c r="I2" s="272"/>
      <c r="J2" s="272"/>
      <c r="K2" s="272"/>
      <c r="L2" s="272"/>
      <c r="M2" s="272"/>
      <c r="N2" s="272"/>
      <c r="O2" s="272"/>
      <c r="P2" s="272"/>
      <c r="AA2"/>
      <c r="AB2"/>
      <c r="AC2"/>
      <c r="AD2"/>
      <c r="AE2"/>
      <c r="AF2"/>
      <c r="AG2"/>
      <c r="AH2"/>
    </row>
    <row r="3" spans="1:34">
      <c r="A3" s="274"/>
      <c r="B3" s="272"/>
      <c r="C3" s="272"/>
      <c r="D3" s="272"/>
      <c r="E3" s="272"/>
      <c r="F3" s="272"/>
      <c r="G3" s="272"/>
      <c r="H3" s="272"/>
      <c r="I3" s="272"/>
      <c r="J3" s="272"/>
      <c r="K3" s="272"/>
      <c r="L3" s="272"/>
      <c r="M3" s="272"/>
      <c r="N3" s="272"/>
      <c r="O3" s="272"/>
      <c r="P3" s="272"/>
      <c r="R3" s="267" t="s">
        <v>525</v>
      </c>
      <c r="S3" s="268"/>
      <c r="T3" s="268"/>
      <c r="U3" s="268"/>
      <c r="V3" s="268"/>
      <c r="W3" s="268"/>
      <c r="X3" s="268"/>
      <c r="Y3" s="268"/>
      <c r="Z3" s="268"/>
      <c r="AA3" s="268"/>
      <c r="AB3"/>
      <c r="AC3"/>
      <c r="AD3"/>
      <c r="AE3"/>
      <c r="AF3"/>
      <c r="AG3"/>
      <c r="AH3"/>
    </row>
    <row r="4" spans="1:34">
      <c r="A4" s="274"/>
      <c r="B4" s="272"/>
      <c r="C4" s="272"/>
      <c r="D4" s="272"/>
      <c r="E4" s="272"/>
      <c r="F4" s="272"/>
      <c r="G4" s="272"/>
      <c r="H4" s="272"/>
      <c r="I4" s="272"/>
      <c r="J4" s="272"/>
      <c r="K4" s="272"/>
      <c r="L4" s="272"/>
      <c r="M4" s="272"/>
      <c r="N4" s="272"/>
      <c r="O4" s="272"/>
      <c r="P4" s="272"/>
      <c r="R4" s="268" t="s">
        <v>513</v>
      </c>
      <c r="S4" s="268" t="s">
        <v>514</v>
      </c>
      <c r="T4" s="268" t="s">
        <v>515</v>
      </c>
      <c r="U4" s="268" t="s">
        <v>516</v>
      </c>
      <c r="V4" s="268" t="s">
        <v>517</v>
      </c>
      <c r="W4" s="268" t="s">
        <v>518</v>
      </c>
      <c r="X4" s="268" t="s">
        <v>519</v>
      </c>
      <c r="Y4" s="268"/>
      <c r="Z4" s="268"/>
      <c r="AA4" s="268"/>
      <c r="AB4"/>
      <c r="AC4"/>
      <c r="AD4"/>
      <c r="AE4"/>
      <c r="AF4"/>
      <c r="AG4"/>
      <c r="AH4"/>
    </row>
    <row r="5" spans="1:34">
      <c r="A5" s="274"/>
      <c r="B5" s="272"/>
      <c r="C5" s="272"/>
      <c r="D5" s="272"/>
      <c r="E5" s="272"/>
      <c r="F5" s="272"/>
      <c r="G5" s="272"/>
      <c r="H5" s="272"/>
      <c r="I5" s="272"/>
      <c r="J5" s="272"/>
      <c r="K5" s="272"/>
      <c r="L5" s="272"/>
      <c r="M5" s="272"/>
      <c r="N5" s="272"/>
      <c r="O5" s="272"/>
      <c r="P5" s="272"/>
      <c r="R5" s="268">
        <v>-1</v>
      </c>
      <c r="S5" s="275">
        <v>0</v>
      </c>
      <c r="T5" s="275">
        <v>0</v>
      </c>
      <c r="U5" s="275">
        <v>0</v>
      </c>
      <c r="V5" s="275">
        <v>0</v>
      </c>
      <c r="W5" s="275">
        <v>0</v>
      </c>
      <c r="X5" s="275">
        <v>0</v>
      </c>
      <c r="Y5" s="268"/>
      <c r="Z5" s="268"/>
      <c r="AA5" s="268"/>
      <c r="AB5"/>
      <c r="AC5"/>
      <c r="AD5"/>
      <c r="AE5"/>
      <c r="AF5"/>
      <c r="AG5"/>
      <c r="AH5"/>
    </row>
    <row r="6" spans="1:34">
      <c r="A6" s="274"/>
      <c r="B6" s="272"/>
      <c r="C6" s="272"/>
      <c r="D6" s="272"/>
      <c r="E6" s="272"/>
      <c r="F6" s="272"/>
      <c r="G6" s="272"/>
      <c r="H6" s="272"/>
      <c r="I6" s="272"/>
      <c r="J6" s="272"/>
      <c r="K6" s="272"/>
      <c r="L6" s="272"/>
      <c r="M6" s="272"/>
      <c r="N6" s="272"/>
      <c r="O6" s="272"/>
      <c r="P6" s="272"/>
      <c r="R6" s="268">
        <v>0</v>
      </c>
      <c r="S6" s="275">
        <v>-0.37323352999999998</v>
      </c>
      <c r="T6" s="275">
        <v>-0.12796669999999999</v>
      </c>
      <c r="U6" s="275">
        <v>-0.61850035999999997</v>
      </c>
      <c r="V6" s="275">
        <v>-5.5503549999999999E-2</v>
      </c>
      <c r="W6" s="275">
        <v>9.3086020000000005E-2</v>
      </c>
      <c r="X6" s="275">
        <v>-0.20409313000000001</v>
      </c>
      <c r="Y6" s="268"/>
      <c r="Z6" s="268"/>
      <c r="AA6" s="268"/>
      <c r="AB6"/>
      <c r="AC6"/>
      <c r="AD6"/>
      <c r="AE6"/>
      <c r="AF6"/>
      <c r="AG6"/>
      <c r="AH6"/>
    </row>
    <row r="7" spans="1:34">
      <c r="A7" s="274"/>
      <c r="B7" s="272"/>
      <c r="C7" s="272"/>
      <c r="D7" s="272"/>
      <c r="E7" s="272"/>
      <c r="F7" s="272"/>
      <c r="G7" s="272"/>
      <c r="H7" s="272"/>
      <c r="I7" s="272"/>
      <c r="J7" s="272"/>
      <c r="K7" s="272"/>
      <c r="L7" s="272"/>
      <c r="M7" s="272"/>
      <c r="N7" s="272"/>
      <c r="O7" s="272"/>
      <c r="P7" s="272"/>
      <c r="R7" s="268">
        <v>1</v>
      </c>
      <c r="S7" s="275">
        <v>-0.90989456000000002</v>
      </c>
      <c r="T7" s="275">
        <v>-0.57408517000000003</v>
      </c>
      <c r="U7" s="275">
        <v>-1.2457039999999999</v>
      </c>
      <c r="V7" s="275">
        <v>-0.18681449</v>
      </c>
      <c r="W7" s="275">
        <v>-7.6710150000000005E-2</v>
      </c>
      <c r="X7" s="275">
        <v>-0.29691882000000003</v>
      </c>
      <c r="Y7" s="268"/>
      <c r="Z7" s="268"/>
      <c r="AA7" s="268"/>
      <c r="AB7"/>
      <c r="AC7"/>
      <c r="AD7"/>
      <c r="AE7"/>
      <c r="AF7"/>
      <c r="AG7"/>
      <c r="AH7"/>
    </row>
    <row r="8" spans="1:34">
      <c r="A8" s="274"/>
      <c r="B8" s="272"/>
      <c r="C8" s="272"/>
      <c r="D8" s="272"/>
      <c r="E8" s="272"/>
      <c r="F8" s="272"/>
      <c r="G8" s="272"/>
      <c r="H8" s="272"/>
      <c r="I8" s="272"/>
      <c r="J8" s="272"/>
      <c r="K8" s="272"/>
      <c r="L8" s="272"/>
      <c r="M8" s="272"/>
      <c r="N8" s="272"/>
      <c r="O8" s="272"/>
      <c r="P8" s="272"/>
      <c r="R8" s="268">
        <v>2</v>
      </c>
      <c r="S8" s="275">
        <v>-0.71257130999999996</v>
      </c>
      <c r="T8" s="275">
        <v>-0.39533835000000001</v>
      </c>
      <c r="U8" s="275">
        <v>-1.0298042999999999</v>
      </c>
      <c r="V8" s="275">
        <v>-0.26779719000000002</v>
      </c>
      <c r="W8" s="275">
        <v>-0.15237244999999999</v>
      </c>
      <c r="X8" s="275">
        <v>-0.38322192999999999</v>
      </c>
      <c r="Y8" s="268"/>
      <c r="Z8" s="268"/>
      <c r="AA8" s="268"/>
      <c r="AB8"/>
      <c r="AC8"/>
      <c r="AD8"/>
      <c r="AE8"/>
      <c r="AF8"/>
      <c r="AG8"/>
      <c r="AH8"/>
    </row>
    <row r="9" spans="1:34">
      <c r="A9" s="274"/>
      <c r="B9" s="272"/>
      <c r="C9" s="272"/>
      <c r="D9" s="272"/>
      <c r="E9" s="272"/>
      <c r="F9" s="272"/>
      <c r="G9" s="272"/>
      <c r="H9" s="272"/>
      <c r="I9" s="272"/>
      <c r="J9" s="272"/>
      <c r="K9" s="272"/>
      <c r="L9" s="272"/>
      <c r="M9" s="272"/>
      <c r="N9" s="272"/>
      <c r="O9" s="272"/>
      <c r="P9" s="272"/>
      <c r="R9" s="268">
        <v>3</v>
      </c>
      <c r="S9" s="275">
        <v>-0.86282086000000002</v>
      </c>
      <c r="T9" s="275">
        <v>-0.53261113000000004</v>
      </c>
      <c r="U9" s="275">
        <v>-1.1930305999999999</v>
      </c>
      <c r="V9" s="275">
        <v>-0.3048342</v>
      </c>
      <c r="W9" s="275">
        <v>-0.14509485999999999</v>
      </c>
      <c r="X9" s="275">
        <v>-0.46457355</v>
      </c>
      <c r="Y9" s="268"/>
      <c r="Z9" s="268"/>
      <c r="AA9" s="268"/>
      <c r="AB9"/>
      <c r="AC9"/>
      <c r="AD9"/>
      <c r="AE9"/>
      <c r="AF9"/>
      <c r="AG9"/>
      <c r="AH9"/>
    </row>
    <row r="10" spans="1:34">
      <c r="A10" s="274"/>
      <c r="B10" s="272"/>
      <c r="C10" s="272"/>
      <c r="D10" s="272"/>
      <c r="E10" s="272"/>
      <c r="F10" s="272"/>
      <c r="G10" s="272"/>
      <c r="H10" s="272"/>
      <c r="I10" s="272"/>
      <c r="J10" s="272"/>
      <c r="K10" s="272"/>
      <c r="L10" s="272"/>
      <c r="M10" s="272"/>
      <c r="N10" s="272"/>
      <c r="O10" s="272"/>
      <c r="P10" s="272"/>
      <c r="R10" s="268">
        <v>4</v>
      </c>
      <c r="S10" s="275">
        <v>-0.93699401999999998</v>
      </c>
      <c r="T10" s="275">
        <v>-0.60800224999999997</v>
      </c>
      <c r="U10" s="275">
        <v>-1.2659857999999999</v>
      </c>
      <c r="V10" s="275">
        <v>-0.27116119</v>
      </c>
      <c r="W10" s="275">
        <v>-9.2145119999999997E-2</v>
      </c>
      <c r="X10" s="275">
        <v>-0.45017724999999997</v>
      </c>
      <c r="Y10" s="268"/>
      <c r="Z10" s="268"/>
      <c r="AA10" s="268"/>
      <c r="AB10"/>
      <c r="AC10"/>
      <c r="AD10"/>
      <c r="AE10"/>
      <c r="AF10"/>
      <c r="AG10"/>
      <c r="AH10"/>
    </row>
    <row r="11" spans="1:34">
      <c r="A11" s="272"/>
      <c r="B11" s="272"/>
      <c r="C11" s="272"/>
      <c r="D11" s="272"/>
      <c r="E11" s="272"/>
      <c r="F11" s="272"/>
      <c r="G11" s="272"/>
      <c r="H11" s="272"/>
      <c r="I11" s="272"/>
      <c r="J11" s="272"/>
      <c r="K11" s="272"/>
      <c r="L11" s="272"/>
      <c r="M11" s="272"/>
      <c r="N11" s="272"/>
      <c r="O11" s="272"/>
      <c r="P11" s="272"/>
      <c r="R11" s="268">
        <v>5</v>
      </c>
      <c r="S11" s="275">
        <v>-0.86033945000000001</v>
      </c>
      <c r="T11" s="275">
        <v>-0.48879223999999999</v>
      </c>
      <c r="U11" s="275">
        <v>-1.2318867</v>
      </c>
      <c r="V11" s="275">
        <v>-0.13194624999999999</v>
      </c>
      <c r="W11" s="275">
        <v>4.9578839999999999E-2</v>
      </c>
      <c r="X11" s="275">
        <v>-0.31347132999999999</v>
      </c>
      <c r="Y11" s="268"/>
      <c r="Z11" s="268"/>
      <c r="AA11" s="268"/>
      <c r="AB11"/>
      <c r="AC11"/>
      <c r="AD11"/>
      <c r="AE11"/>
      <c r="AF11"/>
      <c r="AG11"/>
      <c r="AH11"/>
    </row>
    <row r="12" spans="1:34">
      <c r="A12" s="274"/>
      <c r="B12" s="272"/>
      <c r="C12" s="272"/>
      <c r="D12" s="272"/>
      <c r="E12" s="272"/>
      <c r="F12" s="272"/>
      <c r="G12" s="272"/>
      <c r="H12" s="272"/>
      <c r="I12" s="272"/>
      <c r="J12" s="272"/>
      <c r="K12" s="271"/>
      <c r="L12" s="272"/>
      <c r="M12" s="272"/>
      <c r="N12" s="272"/>
      <c r="O12" s="272"/>
      <c r="P12" s="272"/>
      <c r="R12" s="268"/>
      <c r="S12" s="268"/>
      <c r="T12" s="268"/>
      <c r="U12" s="268"/>
      <c r="V12" s="268"/>
      <c r="W12" s="268"/>
      <c r="X12" s="268"/>
      <c r="Y12" s="268"/>
      <c r="Z12" s="268"/>
      <c r="AA12" s="268"/>
      <c r="AB12"/>
      <c r="AC12"/>
      <c r="AD12"/>
      <c r="AE12"/>
      <c r="AF12"/>
      <c r="AG12"/>
      <c r="AH12"/>
    </row>
    <row r="13" spans="1:34">
      <c r="A13" s="274"/>
      <c r="B13" s="272"/>
      <c r="C13" s="272"/>
      <c r="D13" s="272"/>
      <c r="E13" s="272"/>
      <c r="F13" s="272"/>
      <c r="G13" s="272"/>
      <c r="H13" s="272"/>
      <c r="I13" s="272"/>
      <c r="J13" s="272"/>
      <c r="K13" s="272"/>
      <c r="L13" s="272"/>
      <c r="M13" s="272"/>
      <c r="N13" s="272"/>
      <c r="O13" s="272"/>
      <c r="P13" s="272"/>
      <c r="R13" s="268"/>
      <c r="S13" s="268"/>
      <c r="T13" s="268"/>
      <c r="U13" s="268"/>
      <c r="V13" s="268"/>
      <c r="W13" s="268"/>
      <c r="X13" s="268"/>
      <c r="Y13" s="268"/>
      <c r="Z13" s="268"/>
      <c r="AA13" s="268"/>
      <c r="AB13"/>
      <c r="AC13"/>
      <c r="AD13"/>
      <c r="AE13"/>
      <c r="AF13"/>
      <c r="AG13"/>
      <c r="AH13"/>
    </row>
    <row r="14" spans="1:34">
      <c r="A14" s="274"/>
      <c r="B14" s="272"/>
      <c r="C14" s="272"/>
      <c r="D14" s="272"/>
      <c r="E14" s="272"/>
      <c r="F14" s="272"/>
      <c r="G14" s="272"/>
      <c r="H14" s="272"/>
      <c r="I14" s="272"/>
      <c r="J14" s="272"/>
      <c r="K14" s="272"/>
      <c r="L14" s="272"/>
      <c r="M14" s="272"/>
      <c r="N14" s="272"/>
      <c r="O14" s="272"/>
      <c r="P14" s="272"/>
      <c r="R14" s="267" t="s">
        <v>526</v>
      </c>
      <c r="S14" s="268"/>
      <c r="T14" s="268"/>
      <c r="U14" s="268"/>
      <c r="V14" s="268"/>
      <c r="W14" s="268"/>
      <c r="X14" s="268"/>
      <c r="Y14" s="268"/>
      <c r="Z14" s="268"/>
      <c r="AA14" s="268"/>
      <c r="AB14"/>
      <c r="AC14"/>
      <c r="AD14"/>
      <c r="AE14"/>
      <c r="AF14"/>
      <c r="AG14"/>
      <c r="AH14"/>
    </row>
    <row r="15" spans="1:34">
      <c r="A15" s="274"/>
      <c r="B15" s="272"/>
      <c r="C15" s="272"/>
      <c r="D15" s="272"/>
      <c r="E15" s="272"/>
      <c r="F15" s="272"/>
      <c r="G15" s="272"/>
      <c r="H15" s="272"/>
      <c r="I15" s="272"/>
      <c r="J15" s="272"/>
      <c r="K15" s="272"/>
      <c r="L15" s="272"/>
      <c r="M15" s="272"/>
      <c r="N15" s="272"/>
      <c r="O15" s="272"/>
      <c r="P15" s="272"/>
      <c r="R15" s="268" t="s">
        <v>513</v>
      </c>
      <c r="S15" s="268" t="s">
        <v>514</v>
      </c>
      <c r="T15" s="268" t="s">
        <v>515</v>
      </c>
      <c r="U15" s="268" t="s">
        <v>516</v>
      </c>
      <c r="V15" s="268" t="s">
        <v>517</v>
      </c>
      <c r="W15" s="268" t="s">
        <v>518</v>
      </c>
      <c r="X15" s="268" t="s">
        <v>519</v>
      </c>
      <c r="Y15" s="268"/>
      <c r="Z15" s="268"/>
      <c r="AA15" s="268"/>
      <c r="AB15"/>
      <c r="AC15"/>
      <c r="AD15"/>
      <c r="AE15"/>
      <c r="AF15"/>
      <c r="AG15"/>
      <c r="AH15"/>
    </row>
    <row r="16" spans="1:34">
      <c r="A16" s="274"/>
      <c r="B16" s="272"/>
      <c r="C16" s="272"/>
      <c r="D16" s="272"/>
      <c r="E16" s="272"/>
      <c r="F16" s="272"/>
      <c r="G16" s="272"/>
      <c r="H16" s="272"/>
      <c r="I16" s="272"/>
      <c r="J16" s="272"/>
      <c r="K16" s="272"/>
      <c r="L16" s="272"/>
      <c r="M16" s="272"/>
      <c r="N16" s="272"/>
      <c r="O16" s="272"/>
      <c r="P16" s="272"/>
      <c r="R16" s="268">
        <v>-1</v>
      </c>
      <c r="S16" s="275">
        <v>0</v>
      </c>
      <c r="T16" s="275">
        <v>0</v>
      </c>
      <c r="U16" s="275">
        <v>0</v>
      </c>
      <c r="V16" s="275">
        <v>0</v>
      </c>
      <c r="W16" s="275">
        <v>0</v>
      </c>
      <c r="X16" s="275">
        <v>0</v>
      </c>
      <c r="Y16" s="268"/>
      <c r="Z16" s="268"/>
      <c r="AA16" s="268"/>
      <c r="AB16"/>
      <c r="AC16"/>
      <c r="AD16"/>
      <c r="AE16"/>
      <c r="AF16"/>
      <c r="AG16"/>
      <c r="AH16"/>
    </row>
    <row r="17" spans="1:34">
      <c r="A17" s="274"/>
      <c r="B17" s="272"/>
      <c r="C17" s="272"/>
      <c r="D17" s="272"/>
      <c r="E17" s="272"/>
      <c r="F17" s="272"/>
      <c r="G17" s="272"/>
      <c r="H17" s="272"/>
      <c r="I17" s="272"/>
      <c r="J17" s="272"/>
      <c r="K17" s="272"/>
      <c r="L17" s="272"/>
      <c r="M17" s="272"/>
      <c r="N17" s="272"/>
      <c r="O17" s="272"/>
      <c r="P17" s="272"/>
      <c r="R17" s="268">
        <v>0</v>
      </c>
      <c r="S17" s="275">
        <v>-2.3629799999999999E-2</v>
      </c>
      <c r="T17" s="275">
        <v>0.23969509999999999</v>
      </c>
      <c r="U17" s="275">
        <v>-0.28695470000000001</v>
      </c>
      <c r="V17" s="275">
        <v>-0.1600702</v>
      </c>
      <c r="W17" s="275">
        <v>-4.5609730000000001E-2</v>
      </c>
      <c r="X17" s="275">
        <v>-0.27453065999999998</v>
      </c>
      <c r="Y17" s="268"/>
      <c r="Z17" s="268"/>
      <c r="AA17" s="268"/>
      <c r="AB17"/>
      <c r="AC17"/>
      <c r="AD17"/>
      <c r="AE17"/>
      <c r="AF17"/>
      <c r="AG17"/>
      <c r="AH17"/>
    </row>
    <row r="18" spans="1:34">
      <c r="A18" s="274"/>
      <c r="B18" s="272"/>
      <c r="C18" s="272"/>
      <c r="D18" s="272"/>
      <c r="E18" s="272"/>
      <c r="F18" s="272"/>
      <c r="G18" s="272"/>
      <c r="H18" s="272"/>
      <c r="I18" s="272"/>
      <c r="J18" s="272"/>
      <c r="K18" s="272"/>
      <c r="L18" s="272"/>
      <c r="M18" s="272"/>
      <c r="N18" s="272"/>
      <c r="O18" s="272"/>
      <c r="P18" s="272"/>
      <c r="R18" s="268">
        <v>1</v>
      </c>
      <c r="S18" s="275">
        <v>0.11014094000000001</v>
      </c>
      <c r="T18" s="275">
        <v>0.65928878000000002</v>
      </c>
      <c r="U18" s="275">
        <v>-0.43900689999999998</v>
      </c>
      <c r="V18" s="275">
        <v>-0.21497055000000001</v>
      </c>
      <c r="W18" s="275">
        <v>-3.8275289999999997E-2</v>
      </c>
      <c r="X18" s="275">
        <v>-0.39166580000000001</v>
      </c>
      <c r="Y18" s="268"/>
      <c r="Z18" s="268"/>
      <c r="AA18" s="268"/>
      <c r="AB18"/>
      <c r="AC18"/>
      <c r="AD18"/>
      <c r="AE18"/>
      <c r="AF18"/>
      <c r="AG18"/>
      <c r="AH18"/>
    </row>
    <row r="19" spans="1:34">
      <c r="A19" s="272"/>
      <c r="B19" s="272"/>
      <c r="C19" s="272"/>
      <c r="D19" s="272"/>
      <c r="E19" s="272"/>
      <c r="F19" s="272"/>
      <c r="G19" s="272"/>
      <c r="H19" s="272"/>
      <c r="I19" s="272"/>
      <c r="J19" s="272"/>
      <c r="K19" s="272"/>
      <c r="L19" s="272"/>
      <c r="M19" s="272"/>
      <c r="N19" s="272"/>
      <c r="O19" s="272"/>
      <c r="P19" s="272"/>
      <c r="R19" s="268">
        <v>2</v>
      </c>
      <c r="S19" s="275">
        <v>0.18258274999999999</v>
      </c>
      <c r="T19" s="275">
        <v>0.89415992</v>
      </c>
      <c r="U19" s="275">
        <v>-0.52899443000000002</v>
      </c>
      <c r="V19" s="275">
        <v>-0.23257037999999999</v>
      </c>
      <c r="W19" s="275">
        <v>1.7467739999999999E-2</v>
      </c>
      <c r="X19" s="275">
        <v>-0.4826085</v>
      </c>
      <c r="Y19" s="268"/>
      <c r="Z19" s="268"/>
      <c r="AA19" s="268"/>
      <c r="AB19"/>
      <c r="AC19"/>
      <c r="AD19"/>
      <c r="AE19"/>
      <c r="AF19"/>
      <c r="AG19"/>
      <c r="AH19"/>
    </row>
    <row r="20" spans="1:34">
      <c r="A20" s="272"/>
      <c r="B20" s="272"/>
      <c r="C20" s="272"/>
      <c r="D20" s="272"/>
      <c r="E20" s="272"/>
      <c r="F20" s="272"/>
      <c r="G20" s="272"/>
      <c r="H20" s="272"/>
      <c r="I20" s="272"/>
      <c r="J20" s="272"/>
      <c r="K20" s="272"/>
      <c r="L20" s="272"/>
      <c r="M20" s="272"/>
      <c r="N20" s="272"/>
      <c r="O20" s="272"/>
      <c r="P20" s="272"/>
      <c r="R20" s="268">
        <v>3</v>
      </c>
      <c r="S20" s="275">
        <v>9.2189779999999999E-2</v>
      </c>
      <c r="T20" s="275">
        <v>0.90772942000000001</v>
      </c>
      <c r="U20" s="275">
        <v>-0.72334986999999995</v>
      </c>
      <c r="V20" s="275">
        <v>-0.32774741000000002</v>
      </c>
      <c r="W20" s="275">
        <v>-2.2478729999999999E-2</v>
      </c>
      <c r="X20" s="275">
        <v>-0.63301609000000003</v>
      </c>
      <c r="Y20" s="268"/>
      <c r="Z20" s="268"/>
      <c r="AA20" s="268"/>
      <c r="AB20"/>
      <c r="AC20"/>
      <c r="AD20"/>
      <c r="AE20"/>
      <c r="AF20"/>
      <c r="AG20"/>
      <c r="AH20"/>
    </row>
    <row r="21" spans="1:34">
      <c r="A21" s="272"/>
      <c r="B21" s="272"/>
      <c r="C21" s="272"/>
      <c r="D21" s="272"/>
      <c r="E21" s="272"/>
      <c r="F21" s="272"/>
      <c r="G21" s="272"/>
      <c r="H21" s="272"/>
      <c r="I21" s="272"/>
      <c r="J21" s="272"/>
      <c r="K21" s="272"/>
      <c r="L21" s="272"/>
      <c r="M21" s="272"/>
      <c r="N21" s="272"/>
      <c r="O21" s="272"/>
      <c r="P21" s="272"/>
      <c r="R21" s="268">
        <v>4</v>
      </c>
      <c r="S21" s="275">
        <v>8.4388799999999993E-3</v>
      </c>
      <c r="T21" s="275">
        <v>0.81421228000000001</v>
      </c>
      <c r="U21" s="275">
        <v>-0.79733452000000005</v>
      </c>
      <c r="V21" s="275">
        <v>-0.32712938000000003</v>
      </c>
      <c r="W21" s="275">
        <v>-2.4277670000000001E-2</v>
      </c>
      <c r="X21" s="275">
        <v>-0.62998107999999997</v>
      </c>
      <c r="Y21" s="268"/>
      <c r="Z21" s="268"/>
      <c r="AA21" s="268"/>
      <c r="AB21"/>
      <c r="AC21"/>
      <c r="AD21"/>
      <c r="AE21"/>
      <c r="AF21"/>
      <c r="AG21"/>
      <c r="AH21"/>
    </row>
    <row r="22" spans="1:34">
      <c r="A22" s="272"/>
      <c r="B22" s="272"/>
      <c r="C22" s="272"/>
      <c r="D22" s="272"/>
      <c r="E22" s="272"/>
      <c r="F22" s="272"/>
      <c r="G22" s="272"/>
      <c r="H22" s="272"/>
      <c r="I22" s="272"/>
      <c r="J22" s="272"/>
      <c r="K22" s="272"/>
      <c r="L22" s="272"/>
      <c r="M22" s="272"/>
      <c r="N22" s="272"/>
      <c r="O22" s="272"/>
      <c r="P22" s="272"/>
      <c r="R22" s="268">
        <v>5</v>
      </c>
      <c r="S22" s="275">
        <v>8.8772980000000001E-2</v>
      </c>
      <c r="T22" s="275">
        <v>0.91930659000000003</v>
      </c>
      <c r="U22" s="275">
        <v>-0.74176063000000003</v>
      </c>
      <c r="V22" s="275">
        <v>-0.24598697</v>
      </c>
      <c r="W22" s="275">
        <v>9.4872780000000004E-2</v>
      </c>
      <c r="X22" s="275">
        <v>-0.58684672000000004</v>
      </c>
      <c r="Y22" s="268"/>
      <c r="Z22" s="268"/>
      <c r="AA22" s="268"/>
      <c r="AB22"/>
      <c r="AC22"/>
      <c r="AD22"/>
      <c r="AE22"/>
      <c r="AF22"/>
      <c r="AG22"/>
      <c r="AH22"/>
    </row>
    <row r="23" spans="1:34">
      <c r="A23" s="272"/>
      <c r="B23" s="272"/>
      <c r="C23" s="272"/>
      <c r="D23" s="272"/>
      <c r="E23" s="272"/>
      <c r="F23" s="272"/>
      <c r="G23" s="272"/>
      <c r="H23" s="272"/>
      <c r="I23" s="272"/>
      <c r="J23" s="272"/>
      <c r="K23" s="272"/>
      <c r="L23" s="272"/>
      <c r="M23" s="272"/>
      <c r="N23" s="272"/>
      <c r="O23" s="272"/>
      <c r="P23" s="272"/>
      <c r="R23"/>
      <c r="S23"/>
      <c r="T23"/>
      <c r="U23"/>
      <c r="V23"/>
      <c r="W23"/>
      <c r="X23"/>
      <c r="Y23"/>
      <c r="Z23"/>
      <c r="AA23"/>
      <c r="AB23"/>
      <c r="AC23"/>
      <c r="AD23"/>
      <c r="AE23"/>
      <c r="AF23"/>
      <c r="AG23"/>
      <c r="AH23"/>
    </row>
    <row r="24" spans="1:34">
      <c r="A24" s="272"/>
      <c r="B24" s="272"/>
      <c r="C24" s="272"/>
      <c r="D24" s="272"/>
      <c r="E24" s="272"/>
      <c r="F24" s="272"/>
      <c r="G24" s="272"/>
      <c r="H24" s="272"/>
      <c r="I24" s="272"/>
      <c r="J24" s="272"/>
      <c r="K24" s="272"/>
      <c r="L24" s="272"/>
      <c r="M24" s="272"/>
      <c r="N24" s="272"/>
      <c r="O24" s="272"/>
      <c r="P24" s="272"/>
      <c r="R24"/>
      <c r="S24"/>
      <c r="T24"/>
      <c r="U24"/>
      <c r="V24"/>
      <c r="W24"/>
      <c r="X24"/>
      <c r="Y24"/>
      <c r="Z24"/>
      <c r="AA24"/>
      <c r="AB24"/>
      <c r="AC24"/>
      <c r="AD24"/>
      <c r="AE24"/>
      <c r="AF24"/>
      <c r="AG24"/>
      <c r="AH24"/>
    </row>
    <row r="25" spans="1:34">
      <c r="A25" s="272"/>
      <c r="B25" s="272"/>
      <c r="C25" s="272"/>
      <c r="D25" s="272"/>
      <c r="E25" s="272"/>
      <c r="F25" s="272"/>
      <c r="G25" s="272"/>
      <c r="H25" s="272"/>
      <c r="I25" s="272"/>
      <c r="J25" s="272"/>
      <c r="K25" s="272"/>
      <c r="L25" s="272"/>
      <c r="M25" s="272"/>
      <c r="N25" s="272"/>
      <c r="O25" s="272"/>
      <c r="P25" s="272"/>
      <c r="R25"/>
      <c r="S25"/>
      <c r="T25"/>
      <c r="U25"/>
      <c r="V25"/>
      <c r="W25"/>
      <c r="X25"/>
      <c r="Y25"/>
      <c r="Z25"/>
      <c r="AA25"/>
      <c r="AB25"/>
      <c r="AC25"/>
      <c r="AD25"/>
      <c r="AE25"/>
      <c r="AF25"/>
      <c r="AG25"/>
      <c r="AH25"/>
    </row>
    <row r="26" spans="1:34">
      <c r="A26" s="272"/>
      <c r="B26" s="272"/>
      <c r="C26" s="272"/>
      <c r="D26" s="272"/>
      <c r="E26" s="272"/>
      <c r="F26" s="272"/>
      <c r="G26" s="272"/>
      <c r="H26" s="272"/>
      <c r="I26" s="272"/>
      <c r="J26" s="272"/>
      <c r="K26" s="272"/>
      <c r="L26" s="272"/>
      <c r="M26" s="272"/>
      <c r="N26" s="272"/>
      <c r="O26" s="272"/>
      <c r="P26" s="272"/>
      <c r="R26"/>
      <c r="S26"/>
      <c r="T26"/>
      <c r="U26"/>
      <c r="V26"/>
      <c r="W26"/>
      <c r="X26"/>
      <c r="Y26"/>
      <c r="Z26"/>
      <c r="AA26"/>
      <c r="AB26"/>
      <c r="AC26"/>
      <c r="AD26"/>
      <c r="AE26"/>
      <c r="AF26"/>
      <c r="AG26"/>
      <c r="AH26"/>
    </row>
    <row r="27" spans="1:34">
      <c r="R27"/>
      <c r="S27"/>
      <c r="T27"/>
      <c r="U27"/>
      <c r="V27"/>
      <c r="W27"/>
      <c r="X27"/>
      <c r="Y27"/>
      <c r="Z27"/>
      <c r="AA27"/>
      <c r="AB27"/>
      <c r="AC27"/>
      <c r="AD27"/>
      <c r="AE27"/>
      <c r="AF27"/>
      <c r="AG27"/>
      <c r="AH27"/>
    </row>
    <row r="28" spans="1:34">
      <c r="R28"/>
      <c r="S28"/>
      <c r="T28"/>
      <c r="U28"/>
      <c r="V28"/>
      <c r="W28"/>
      <c r="X28"/>
      <c r="Y28"/>
      <c r="Z28"/>
      <c r="AA28"/>
      <c r="AB28"/>
      <c r="AC28"/>
      <c r="AD28"/>
      <c r="AE28"/>
      <c r="AF28"/>
      <c r="AG28"/>
      <c r="AH28"/>
    </row>
    <row r="29" spans="1:34">
      <c r="R29"/>
      <c r="S29"/>
      <c r="T29"/>
      <c r="U29"/>
      <c r="V29"/>
      <c r="W29"/>
      <c r="X29"/>
      <c r="Y29"/>
      <c r="Z29"/>
      <c r="AA29"/>
      <c r="AB29"/>
      <c r="AC29"/>
      <c r="AD29"/>
      <c r="AE29"/>
      <c r="AF29"/>
      <c r="AG29"/>
      <c r="AH29"/>
    </row>
  </sheetData>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DB718-42FF-4437-B26B-C30333414244}">
  <sheetPr>
    <outlinePr summaryBelow="0"/>
    <pageSetUpPr fitToPage="1"/>
  </sheetPr>
  <dimension ref="A1:AE60"/>
  <sheetViews>
    <sheetView showGridLines="0" zoomScaleNormal="100" zoomScaleSheetLayoutView="100" workbookViewId="0">
      <selection activeCell="I26" sqref="I26"/>
    </sheetView>
  </sheetViews>
  <sheetFormatPr defaultColWidth="9.140625" defaultRowHeight="12" outlineLevelRow="1" outlineLevelCol="1"/>
  <cols>
    <col min="1" max="1" width="5.140625" style="55" customWidth="1"/>
    <col min="2" max="2" width="50.5703125" style="55" customWidth="1"/>
    <col min="3" max="4" width="21.5703125" style="56" hidden="1" customWidth="1" outlineLevel="1"/>
    <col min="5" max="5" width="7.42578125" style="55" hidden="1" customWidth="1" outlineLevel="1"/>
    <col min="6" max="6" width="7.140625" style="55" hidden="1" customWidth="1" outlineLevel="1"/>
    <col min="7" max="7" width="6.7109375" style="55" hidden="1" customWidth="1" outlineLevel="1"/>
    <col min="8" max="8" width="7.42578125" style="55" customWidth="1" collapsed="1"/>
    <col min="9" max="9" width="7.42578125" style="57" customWidth="1"/>
    <col min="10" max="12" width="6.7109375" style="55" customWidth="1"/>
    <col min="13" max="13" width="7" style="55" customWidth="1"/>
    <col min="14" max="17" width="6.7109375" style="55" customWidth="1"/>
    <col min="18" max="18" width="5.42578125" style="55" customWidth="1"/>
    <col min="19" max="19" width="2.28515625" style="57" customWidth="1"/>
    <col min="20" max="20" width="9.140625" style="55" customWidth="1"/>
    <col min="21" max="16384" width="9.140625" style="55"/>
  </cols>
  <sheetData>
    <row r="1" spans="2:31" ht="3.6" customHeight="1"/>
    <row r="2" spans="2:31" ht="12.75">
      <c r="B2" s="584" t="str">
        <f>"Table 1.1. General Government Fiscal Balance, "&amp;$H$6&amp;"–"&amp;RIGHT($R$6,2)&amp;": Overall Balance"</f>
        <v>Table 1.1. General Government Fiscal Balance, 2018–28: Overall Balance</v>
      </c>
      <c r="C2" s="584"/>
      <c r="D2" s="584"/>
      <c r="E2" s="584"/>
      <c r="F2" s="584"/>
      <c r="G2" s="584"/>
      <c r="H2" s="584"/>
      <c r="I2" s="584"/>
      <c r="J2" s="584"/>
      <c r="K2" s="584"/>
      <c r="L2" s="584"/>
      <c r="M2" s="584"/>
      <c r="N2" s="584"/>
      <c r="O2" s="584"/>
      <c r="P2" s="584"/>
      <c r="Q2" s="584"/>
      <c r="R2" s="584"/>
    </row>
    <row r="3" spans="2:31">
      <c r="B3" s="58" t="s">
        <v>81</v>
      </c>
      <c r="C3" s="55"/>
      <c r="D3" s="55"/>
      <c r="I3" s="55"/>
    </row>
    <row r="4" spans="2:31" ht="1.5" customHeight="1">
      <c r="B4" s="585"/>
      <c r="C4" s="585"/>
      <c r="D4" s="585"/>
      <c r="E4" s="585"/>
      <c r="F4" s="585"/>
      <c r="G4" s="585"/>
      <c r="H4" s="585"/>
      <c r="I4" s="585"/>
      <c r="J4" s="585"/>
      <c r="K4" s="585"/>
      <c r="L4" s="585"/>
      <c r="M4" s="585"/>
      <c r="N4" s="585"/>
      <c r="O4" s="585"/>
      <c r="P4" s="585"/>
      <c r="Q4" s="585"/>
      <c r="R4" s="585"/>
    </row>
    <row r="5" spans="2:31" ht="15.6" customHeight="1">
      <c r="B5" s="59"/>
      <c r="C5" s="60"/>
      <c r="D5" s="60"/>
      <c r="F5" s="61"/>
      <c r="L5" s="62"/>
      <c r="M5" s="586" t="s">
        <v>82</v>
      </c>
      <c r="N5" s="586"/>
      <c r="O5" s="586"/>
      <c r="P5" s="586"/>
      <c r="Q5" s="586"/>
      <c r="R5" s="586"/>
    </row>
    <row r="6" spans="2:31">
      <c r="B6" s="63"/>
      <c r="C6" s="64"/>
      <c r="D6" s="64"/>
      <c r="E6" s="65">
        <v>2015</v>
      </c>
      <c r="F6" s="65">
        <f t="shared" ref="F6:R6" si="0">E6+1</f>
        <v>2016</v>
      </c>
      <c r="G6" s="65">
        <f t="shared" si="0"/>
        <v>2017</v>
      </c>
      <c r="H6" s="65">
        <f t="shared" si="0"/>
        <v>2018</v>
      </c>
      <c r="I6" s="66">
        <f t="shared" si="0"/>
        <v>2019</v>
      </c>
      <c r="J6" s="66">
        <f t="shared" si="0"/>
        <v>2020</v>
      </c>
      <c r="K6" s="65">
        <f t="shared" si="0"/>
        <v>2021</v>
      </c>
      <c r="L6" s="66">
        <f t="shared" si="0"/>
        <v>2022</v>
      </c>
      <c r="M6" s="67">
        <f t="shared" si="0"/>
        <v>2023</v>
      </c>
      <c r="N6" s="67">
        <f t="shared" si="0"/>
        <v>2024</v>
      </c>
      <c r="O6" s="67">
        <f t="shared" si="0"/>
        <v>2025</v>
      </c>
      <c r="P6" s="67">
        <f t="shared" si="0"/>
        <v>2026</v>
      </c>
      <c r="Q6" s="67">
        <f t="shared" si="0"/>
        <v>2027</v>
      </c>
      <c r="R6" s="67">
        <f t="shared" si="0"/>
        <v>2028</v>
      </c>
    </row>
    <row r="7" spans="2:31" ht="5.25" customHeight="1">
      <c r="E7" s="68"/>
      <c r="F7" s="68"/>
      <c r="G7" s="68"/>
      <c r="H7" s="68"/>
      <c r="I7" s="69"/>
      <c r="J7" s="69"/>
      <c r="K7" s="68"/>
      <c r="L7" s="69"/>
      <c r="M7" s="70"/>
      <c r="N7" s="70"/>
      <c r="O7" s="70"/>
      <c r="P7" s="70"/>
      <c r="Q7" s="70"/>
      <c r="R7" s="70"/>
    </row>
    <row r="8" spans="2:31" ht="12" customHeight="1">
      <c r="B8" s="71" t="s">
        <v>83</v>
      </c>
      <c r="C8" s="72" t="s">
        <v>83</v>
      </c>
      <c r="D8" s="72" t="s">
        <v>83</v>
      </c>
      <c r="E8" s="73"/>
      <c r="F8" s="73"/>
      <c r="G8" s="73"/>
      <c r="H8" s="73">
        <v>-2.8586255239579947</v>
      </c>
      <c r="I8" s="73">
        <v>-3.5796540424201542</v>
      </c>
      <c r="J8" s="73">
        <v>-9.5905018199969749</v>
      </c>
      <c r="K8" s="73">
        <v>-6.5608495176596575</v>
      </c>
      <c r="L8" s="73">
        <v>-4.6793419380525982</v>
      </c>
      <c r="M8" s="74">
        <v>-4.9770678372232497</v>
      </c>
      <c r="N8" s="74">
        <v>-4.6364996136181817</v>
      </c>
      <c r="O8" s="74">
        <v>-4.4998294339366485</v>
      </c>
      <c r="P8" s="74">
        <v>-4.3278053156898189</v>
      </c>
      <c r="Q8" s="74">
        <v>-4.210398616650477</v>
      </c>
      <c r="R8" s="74">
        <v>-4.2380689453392879</v>
      </c>
      <c r="S8" s="73"/>
      <c r="U8" s="75"/>
      <c r="V8" s="75"/>
      <c r="W8" s="75"/>
      <c r="X8" s="75"/>
      <c r="Y8" s="75"/>
      <c r="Z8" s="75"/>
      <c r="AA8" s="75"/>
      <c r="AB8" s="75"/>
      <c r="AC8" s="75"/>
      <c r="AD8" s="75"/>
      <c r="AE8" s="75"/>
    </row>
    <row r="9" spans="2:31" ht="15.75" customHeight="1" collapsed="1">
      <c r="B9" s="76" t="s">
        <v>84</v>
      </c>
      <c r="C9" s="77" t="s">
        <v>85</v>
      </c>
      <c r="D9" s="77" t="s">
        <v>85</v>
      </c>
      <c r="E9" s="73"/>
      <c r="F9" s="73"/>
      <c r="G9" s="73"/>
      <c r="H9" s="73">
        <v>-2.4158998660791453</v>
      </c>
      <c r="I9" s="73">
        <v>-2.9693445669189988</v>
      </c>
      <c r="J9" s="73">
        <v>-10.238298315177325</v>
      </c>
      <c r="K9" s="73">
        <v>-7.5128995786831156</v>
      </c>
      <c r="L9" s="73">
        <v>-4.2745771866945592</v>
      </c>
      <c r="M9" s="74">
        <v>-4.3965304994632222</v>
      </c>
      <c r="N9" s="74">
        <v>-4.1579694745720097</v>
      </c>
      <c r="O9" s="74">
        <v>-4.0671867416893441</v>
      </c>
      <c r="P9" s="74">
        <v>-3.9071025310368737</v>
      </c>
      <c r="Q9" s="74">
        <v>-3.7752048559908737</v>
      </c>
      <c r="R9" s="74">
        <v>-3.8837366320816678</v>
      </c>
      <c r="S9" s="78"/>
      <c r="U9" s="75"/>
      <c r="V9" s="75"/>
      <c r="W9" s="75"/>
      <c r="X9" s="75"/>
      <c r="Y9" s="75"/>
      <c r="Z9" s="75"/>
      <c r="AA9" s="75"/>
      <c r="AB9" s="75"/>
      <c r="AC9" s="75"/>
      <c r="AD9" s="75"/>
      <c r="AE9" s="75"/>
    </row>
    <row r="10" spans="2:31" ht="12" hidden="1" customHeight="1" outlineLevel="1">
      <c r="B10" s="79" t="s">
        <v>86</v>
      </c>
      <c r="C10" s="80" t="s">
        <v>86</v>
      </c>
      <c r="D10" s="80" t="s">
        <v>86</v>
      </c>
      <c r="E10" s="81"/>
      <c r="F10" s="81"/>
      <c r="G10" s="81"/>
      <c r="H10" s="81">
        <v>-3.0322549634976705</v>
      </c>
      <c r="I10" s="81">
        <v>-3.6405408682695732</v>
      </c>
      <c r="J10" s="81">
        <v>-11.179431834948172</v>
      </c>
      <c r="K10" s="81">
        <v>-8.6711141576645172</v>
      </c>
      <c r="L10" s="81">
        <v>-5.1248119270283379</v>
      </c>
      <c r="M10" s="82">
        <v>-5.284633721090886</v>
      </c>
      <c r="N10" s="82">
        <v>-5.0724965973595753</v>
      </c>
      <c r="O10" s="82">
        <v>-4.9389212065391783</v>
      </c>
      <c r="P10" s="82">
        <v>-4.7336578187086236</v>
      </c>
      <c r="Q10" s="82">
        <v>-4.55786730265174</v>
      </c>
      <c r="R10" s="82">
        <v>-4.6751607771720645</v>
      </c>
      <c r="S10" s="78"/>
      <c r="U10" s="75"/>
      <c r="V10" s="75"/>
      <c r="W10" s="75"/>
      <c r="X10" s="75"/>
      <c r="Y10" s="75"/>
      <c r="Z10" s="75"/>
      <c r="AA10" s="75"/>
      <c r="AB10" s="75"/>
      <c r="AC10" s="75"/>
      <c r="AD10" s="75"/>
      <c r="AE10" s="75"/>
    </row>
    <row r="11" spans="2:31" ht="12" customHeight="1">
      <c r="B11" s="83" t="s">
        <v>87</v>
      </c>
      <c r="C11" s="80" t="s">
        <v>87</v>
      </c>
      <c r="D11" s="80" t="s">
        <v>87</v>
      </c>
      <c r="E11" s="81"/>
      <c r="F11" s="81"/>
      <c r="G11" s="81"/>
      <c r="H11" s="81">
        <v>0.35989130799422991</v>
      </c>
      <c r="I11" s="81">
        <v>-1.7289349803786477E-2</v>
      </c>
      <c r="J11" s="81">
        <v>-10.910398378770509</v>
      </c>
      <c r="K11" s="81">
        <v>-4.3813839397071588</v>
      </c>
      <c r="L11" s="81">
        <v>-0.69997009104458374</v>
      </c>
      <c r="M11" s="82">
        <v>-0.39957557452967601</v>
      </c>
      <c r="N11" s="82">
        <v>-0.36882482118123799</v>
      </c>
      <c r="O11" s="82">
        <v>-0.31352871207973981</v>
      </c>
      <c r="P11" s="82">
        <v>-0.15133102074878402</v>
      </c>
      <c r="Q11" s="82">
        <v>-7.6792170332084478E-2</v>
      </c>
      <c r="R11" s="82">
        <v>2.0570411912170589E-2</v>
      </c>
      <c r="S11" s="84"/>
      <c r="U11" s="75"/>
      <c r="V11" s="75"/>
      <c r="W11" s="75"/>
      <c r="X11" s="75"/>
      <c r="Y11" s="75"/>
      <c r="Z11" s="75"/>
      <c r="AA11" s="75"/>
      <c r="AB11" s="75"/>
      <c r="AC11" s="75"/>
      <c r="AD11" s="75"/>
      <c r="AE11" s="75"/>
    </row>
    <row r="12" spans="2:31" ht="12" customHeight="1">
      <c r="B12" s="83" t="s">
        <v>88</v>
      </c>
      <c r="C12" s="80" t="s">
        <v>88</v>
      </c>
      <c r="D12" s="80" t="s">
        <v>89</v>
      </c>
      <c r="E12" s="81"/>
      <c r="F12" s="81"/>
      <c r="G12" s="81"/>
      <c r="H12" s="81">
        <v>-0.42895019555208935</v>
      </c>
      <c r="I12" s="81">
        <v>-0.64635394670815394</v>
      </c>
      <c r="J12" s="81">
        <v>-7.0809970858781117</v>
      </c>
      <c r="K12" s="81">
        <v>-5.3631885543992297</v>
      </c>
      <c r="L12" s="81">
        <v>-3.8190110355845532</v>
      </c>
      <c r="M12" s="82">
        <v>-3.7138891759040309</v>
      </c>
      <c r="N12" s="82">
        <v>-2.8231885094362394</v>
      </c>
      <c r="O12" s="82">
        <v>-2.3276636784797571</v>
      </c>
      <c r="P12" s="82">
        <v>-2.1149638745230508</v>
      </c>
      <c r="Q12" s="82">
        <v>-1.9624608083689847</v>
      </c>
      <c r="R12" s="82">
        <v>-1.9080688382526512</v>
      </c>
      <c r="S12" s="84"/>
      <c r="U12" s="75"/>
      <c r="V12" s="75"/>
      <c r="W12" s="75"/>
      <c r="X12" s="75"/>
      <c r="Y12" s="75"/>
      <c r="Z12" s="75"/>
      <c r="AA12" s="75"/>
      <c r="AB12" s="75"/>
      <c r="AC12" s="75"/>
      <c r="AD12" s="75"/>
      <c r="AE12" s="75"/>
    </row>
    <row r="13" spans="2:31" ht="12" customHeight="1">
      <c r="B13" s="85" t="s">
        <v>90</v>
      </c>
      <c r="C13" s="80" t="s">
        <v>90</v>
      </c>
      <c r="D13" s="80" t="s">
        <v>90</v>
      </c>
      <c r="E13" s="81"/>
      <c r="F13" s="81"/>
      <c r="G13" s="81"/>
      <c r="H13" s="81">
        <v>-2.2889545408000487</v>
      </c>
      <c r="I13" s="81">
        <v>-3.0646507783158676</v>
      </c>
      <c r="J13" s="81">
        <v>-8.992844691796984</v>
      </c>
      <c r="K13" s="81">
        <v>-6.5310748300299784</v>
      </c>
      <c r="L13" s="81">
        <v>-4.8516006615397815</v>
      </c>
      <c r="M13" s="82">
        <v>-5.3174230119219361</v>
      </c>
      <c r="N13" s="82">
        <v>-4.8111676839827799</v>
      </c>
      <c r="O13" s="82">
        <v>-4.4514269616139366</v>
      </c>
      <c r="P13" s="82">
        <v>-4.0906532278171976</v>
      </c>
      <c r="Q13" s="82">
        <v>-3.89014138499296</v>
      </c>
      <c r="R13" s="82">
        <v>-4.0242152992653777</v>
      </c>
      <c r="S13" s="84"/>
      <c r="U13" s="75"/>
      <c r="V13" s="75"/>
      <c r="W13" s="75"/>
      <c r="X13" s="75"/>
      <c r="Y13" s="75"/>
      <c r="Z13" s="75"/>
      <c r="AA13" s="75"/>
      <c r="AB13" s="75"/>
      <c r="AC13" s="75"/>
      <c r="AD13" s="75"/>
      <c r="AE13" s="75"/>
    </row>
    <row r="14" spans="2:31" ht="12" customHeight="1">
      <c r="B14" s="85" t="s">
        <v>91</v>
      </c>
      <c r="C14" s="80" t="s">
        <v>91</v>
      </c>
      <c r="D14" s="80" t="s">
        <v>91</v>
      </c>
      <c r="E14" s="81"/>
      <c r="F14" s="81"/>
      <c r="G14" s="81"/>
      <c r="H14" s="81">
        <v>1.9499026876049268</v>
      </c>
      <c r="I14" s="81">
        <v>1.5309248371846622</v>
      </c>
      <c r="J14" s="81">
        <v>-4.3329036274420556</v>
      </c>
      <c r="K14" s="81">
        <v>-3.7274102866662036</v>
      </c>
      <c r="L14" s="81">
        <v>-2.6202143752990006</v>
      </c>
      <c r="M14" s="82">
        <v>-3.6982931018888268</v>
      </c>
      <c r="N14" s="82">
        <v>-1.9074459218906274</v>
      </c>
      <c r="O14" s="82">
        <v>-0.85029784751576953</v>
      </c>
      <c r="P14" s="82">
        <v>-0.66245782322487023</v>
      </c>
      <c r="Q14" s="82">
        <v>-0.50563995948682572</v>
      </c>
      <c r="R14" s="82">
        <v>-0.48587494815033716</v>
      </c>
      <c r="S14" s="84"/>
      <c r="U14" s="75"/>
      <c r="V14" s="75"/>
      <c r="W14" s="75"/>
      <c r="X14" s="75"/>
      <c r="Y14" s="75"/>
      <c r="Z14" s="75"/>
      <c r="AA14" s="75"/>
      <c r="AB14" s="75"/>
      <c r="AC14" s="75"/>
      <c r="AD14" s="75"/>
      <c r="AE14" s="75"/>
    </row>
    <row r="15" spans="2:31" ht="12" customHeight="1">
      <c r="B15" s="85" t="s">
        <v>92</v>
      </c>
      <c r="C15" s="80" t="s">
        <v>92</v>
      </c>
      <c r="D15" s="80" t="s">
        <v>92</v>
      </c>
      <c r="E15" s="81"/>
      <c r="F15" s="81"/>
      <c r="G15" s="81"/>
      <c r="H15" s="81">
        <v>-2.1651346314845226</v>
      </c>
      <c r="I15" s="81">
        <v>-1.5074182588910015</v>
      </c>
      <c r="J15" s="81">
        <v>-9.6556934895425695</v>
      </c>
      <c r="K15" s="81">
        <v>-9.0178533470270903</v>
      </c>
      <c r="L15" s="81">
        <v>-8.0374385918781783</v>
      </c>
      <c r="M15" s="82">
        <v>-3.7452551397495406</v>
      </c>
      <c r="N15" s="82">
        <v>-3.3382289430065373</v>
      </c>
      <c r="O15" s="82">
        <v>-2.3499908349749674</v>
      </c>
      <c r="P15" s="82">
        <v>-1.8100190037194719</v>
      </c>
      <c r="Q15" s="82">
        <v>-1.2542191543820016</v>
      </c>
      <c r="R15" s="82">
        <v>-0.7354983637633099</v>
      </c>
      <c r="S15" s="84"/>
      <c r="U15" s="75"/>
      <c r="V15" s="75"/>
      <c r="W15" s="75"/>
      <c r="X15" s="75"/>
      <c r="Y15" s="75"/>
      <c r="Z15" s="75"/>
      <c r="AA15" s="75"/>
      <c r="AB15" s="75"/>
      <c r="AC15" s="75"/>
      <c r="AD15" s="75"/>
      <c r="AE15" s="75"/>
    </row>
    <row r="16" spans="2:31" ht="12" customHeight="1">
      <c r="B16" s="85" t="s">
        <v>93</v>
      </c>
      <c r="C16" s="80" t="s">
        <v>94</v>
      </c>
      <c r="D16" s="80" t="s">
        <v>94</v>
      </c>
      <c r="E16" s="81"/>
      <c r="F16" s="81"/>
      <c r="G16" s="81"/>
      <c r="H16" s="81">
        <v>-2.5936592242114731</v>
      </c>
      <c r="I16" s="81">
        <v>-3.0602651277024004</v>
      </c>
      <c r="J16" s="81">
        <v>-10.125233790314574</v>
      </c>
      <c r="K16" s="81">
        <v>-6.8729792300897721</v>
      </c>
      <c r="L16" s="81">
        <v>-4.4669378006868756</v>
      </c>
      <c r="M16" s="82">
        <v>-4.4845279353360992</v>
      </c>
      <c r="N16" s="82">
        <v>-3.5065653623878617</v>
      </c>
      <c r="O16" s="82">
        <v>-3.8005118862163392</v>
      </c>
      <c r="P16" s="82">
        <v>-4.0274354359841107</v>
      </c>
      <c r="Q16" s="82">
        <v>-4.0274354359841613</v>
      </c>
      <c r="R16" s="82">
        <v>-4.0274354359841276</v>
      </c>
      <c r="S16" s="84"/>
      <c r="U16" s="75"/>
      <c r="V16" s="75"/>
      <c r="W16" s="75"/>
      <c r="X16" s="75"/>
      <c r="Y16" s="75"/>
      <c r="Z16" s="75"/>
      <c r="AA16" s="75"/>
      <c r="AB16" s="75"/>
      <c r="AC16" s="75"/>
      <c r="AD16" s="75"/>
      <c r="AE16" s="75"/>
    </row>
    <row r="17" spans="2:31" ht="12" customHeight="1">
      <c r="B17" s="83" t="s">
        <v>95</v>
      </c>
      <c r="C17" s="80" t="s">
        <v>96</v>
      </c>
      <c r="D17" s="80" t="s">
        <v>96</v>
      </c>
      <c r="E17" s="81"/>
      <c r="F17" s="81"/>
      <c r="G17" s="81"/>
      <c r="H17" s="81">
        <v>-2.4714078523601222</v>
      </c>
      <c r="I17" s="81">
        <v>-3.0446438669687224</v>
      </c>
      <c r="J17" s="81">
        <v>-9.0640688696199323</v>
      </c>
      <c r="K17" s="81">
        <v>-6.1581497519109298</v>
      </c>
      <c r="L17" s="81">
        <v>-7.8203607789039884</v>
      </c>
      <c r="M17" s="82">
        <v>-6.3825047202028635</v>
      </c>
      <c r="N17" s="82">
        <v>-3.9886382539652052</v>
      </c>
      <c r="O17" s="82">
        <v>-2.9046889488883831</v>
      </c>
      <c r="P17" s="82">
        <v>-3.1162271307014868</v>
      </c>
      <c r="Q17" s="82">
        <v>-3.3628632182380338</v>
      </c>
      <c r="R17" s="82">
        <v>-3.7365275282822332</v>
      </c>
      <c r="S17" s="84"/>
      <c r="U17" s="75"/>
      <c r="V17" s="75"/>
      <c r="W17" s="75"/>
      <c r="X17" s="75"/>
      <c r="Y17" s="75"/>
      <c r="Z17" s="75"/>
      <c r="AA17" s="75"/>
      <c r="AB17" s="75"/>
      <c r="AC17" s="75"/>
      <c r="AD17" s="75"/>
      <c r="AE17" s="75"/>
    </row>
    <row r="18" spans="2:31" ht="12" customHeight="1">
      <c r="B18" s="83" t="s">
        <v>97</v>
      </c>
      <c r="C18" s="80" t="s">
        <v>97</v>
      </c>
      <c r="D18" s="80" t="s">
        <v>97</v>
      </c>
      <c r="E18" s="81"/>
      <c r="F18" s="81"/>
      <c r="G18" s="81"/>
      <c r="H18" s="81">
        <v>-2.1762205607649912</v>
      </c>
      <c r="I18" s="81">
        <v>-2.2261507147235373</v>
      </c>
      <c r="J18" s="81">
        <v>-13.007384359265336</v>
      </c>
      <c r="K18" s="81">
        <v>-8.2560215941356141</v>
      </c>
      <c r="L18" s="81">
        <v>-6.2603416459790715</v>
      </c>
      <c r="M18" s="82">
        <v>-5.8015256856201729</v>
      </c>
      <c r="N18" s="82">
        <v>-4.3731644080256524</v>
      </c>
      <c r="O18" s="82">
        <v>-4.2318124224484679</v>
      </c>
      <c r="P18" s="82">
        <v>-3.9461345162322936</v>
      </c>
      <c r="Q18" s="82">
        <v>-3.8589484318086642</v>
      </c>
      <c r="R18" s="82">
        <v>-3.6968199452705428</v>
      </c>
      <c r="S18" s="84"/>
      <c r="U18" s="75"/>
      <c r="V18" s="75"/>
      <c r="W18" s="75"/>
      <c r="X18" s="75"/>
      <c r="Y18" s="75"/>
      <c r="Z18" s="75"/>
      <c r="AA18" s="75"/>
      <c r="AB18" s="75"/>
      <c r="AC18" s="75"/>
      <c r="AD18" s="75"/>
      <c r="AE18" s="75"/>
    </row>
    <row r="19" spans="2:31" ht="12" customHeight="1">
      <c r="B19" s="83" t="s">
        <v>98</v>
      </c>
      <c r="C19" s="80" t="s">
        <v>99</v>
      </c>
      <c r="D19" s="80" t="s">
        <v>99</v>
      </c>
      <c r="E19" s="81"/>
      <c r="F19" s="81"/>
      <c r="G19" s="81"/>
      <c r="H19" s="81">
        <v>-5.3218526694126425</v>
      </c>
      <c r="I19" s="81">
        <v>-5.74275230988333</v>
      </c>
      <c r="J19" s="81">
        <v>-14.003366499766148</v>
      </c>
      <c r="K19" s="81">
        <v>-11.620477309208741</v>
      </c>
      <c r="L19" s="81">
        <v>-5.5086894375080151</v>
      </c>
      <c r="M19" s="82">
        <v>-6.2770647786726848</v>
      </c>
      <c r="N19" s="82">
        <v>-6.8330833988867665</v>
      </c>
      <c r="O19" s="82">
        <v>-7.1104032915081188</v>
      </c>
      <c r="P19" s="82">
        <v>-6.8784143796275119</v>
      </c>
      <c r="Q19" s="82">
        <v>-6.6164765541168098</v>
      </c>
      <c r="R19" s="82">
        <v>-6.8286145981659496</v>
      </c>
      <c r="S19" s="84"/>
      <c r="U19" s="75"/>
      <c r="V19" s="75"/>
      <c r="W19" s="75"/>
      <c r="X19" s="75"/>
      <c r="Y19" s="75"/>
      <c r="Z19" s="75"/>
      <c r="AA19" s="75"/>
      <c r="AB19" s="75"/>
      <c r="AC19" s="75"/>
      <c r="AD19" s="75"/>
      <c r="AE19" s="75"/>
    </row>
    <row r="20" spans="2:31" ht="12" customHeight="1">
      <c r="B20" s="83" t="s">
        <v>100</v>
      </c>
      <c r="C20" s="86" t="s">
        <v>101</v>
      </c>
      <c r="D20" s="86" t="s">
        <v>101</v>
      </c>
      <c r="E20" s="81"/>
      <c r="F20" s="81"/>
      <c r="G20" s="81"/>
      <c r="H20" s="81">
        <v>1.1505627460869459</v>
      </c>
      <c r="I20" s="81">
        <v>-0.14310526672041274</v>
      </c>
      <c r="J20" s="81">
        <v>-4.7778060148214596</v>
      </c>
      <c r="K20" s="81">
        <v>-1.2560699957890613</v>
      </c>
      <c r="L20" s="81">
        <v>0.21732105031841972</v>
      </c>
      <c r="M20" s="82">
        <v>0.67389873180229287</v>
      </c>
      <c r="N20" s="82">
        <v>0.73399246343255409</v>
      </c>
      <c r="O20" s="82">
        <v>0.70595204785997967</v>
      </c>
      <c r="P20" s="82">
        <v>0.69318772623145353</v>
      </c>
      <c r="Q20" s="82">
        <v>0.63741272147891992</v>
      </c>
      <c r="R20" s="82">
        <v>0.58001904369556945</v>
      </c>
      <c r="S20" s="84"/>
      <c r="U20" s="75"/>
      <c r="V20" s="75"/>
      <c r="W20" s="75"/>
      <c r="X20" s="75"/>
      <c r="Y20" s="75"/>
      <c r="Z20" s="75"/>
      <c r="AA20" s="75"/>
      <c r="AB20" s="75"/>
      <c r="AC20" s="75"/>
      <c r="AD20" s="75"/>
      <c r="AE20" s="75"/>
    </row>
    <row r="21" spans="2:31" ht="15" customHeight="1">
      <c r="B21" s="87" t="s">
        <v>102</v>
      </c>
      <c r="C21" s="87" t="s">
        <v>102</v>
      </c>
      <c r="D21" s="87" t="s">
        <v>102</v>
      </c>
      <c r="E21" s="73"/>
      <c r="F21" s="73"/>
      <c r="G21" s="73"/>
      <c r="H21" s="73">
        <v>-3.5216065294935168</v>
      </c>
      <c r="I21" s="73">
        <v>-4.4809197191029195</v>
      </c>
      <c r="J21" s="73">
        <v>-8.6158503096310497</v>
      </c>
      <c r="K21" s="73">
        <v>-5.2015875195325467</v>
      </c>
      <c r="L21" s="73">
        <v>-5.2262085628206654</v>
      </c>
      <c r="M21" s="74">
        <v>-5.755660771326772</v>
      </c>
      <c r="N21" s="74">
        <v>-5.2598566017759234</v>
      </c>
      <c r="O21" s="74">
        <v>-5.0497348448439991</v>
      </c>
      <c r="P21" s="74">
        <v>-4.8496875500150631</v>
      </c>
      <c r="Q21" s="74">
        <v>-4.7368890225117903</v>
      </c>
      <c r="R21" s="74">
        <v>-4.6561961525662223</v>
      </c>
      <c r="S21" s="84"/>
      <c r="U21" s="75"/>
      <c r="V21" s="75"/>
      <c r="W21" s="75"/>
      <c r="X21" s="75"/>
      <c r="Y21" s="75"/>
      <c r="Z21" s="75"/>
      <c r="AA21" s="75"/>
      <c r="AB21" s="75"/>
      <c r="AC21" s="75"/>
      <c r="AD21" s="75"/>
      <c r="AE21" s="75"/>
    </row>
    <row r="22" spans="2:31" ht="12" hidden="1" customHeight="1" outlineLevel="1">
      <c r="B22" s="88" t="s">
        <v>103</v>
      </c>
      <c r="C22" s="80" t="s">
        <v>103</v>
      </c>
      <c r="D22" s="80" t="s">
        <v>103</v>
      </c>
      <c r="E22" s="81"/>
      <c r="F22" s="81"/>
      <c r="G22" s="81"/>
      <c r="H22" s="81">
        <v>-4.0721819434798929</v>
      </c>
      <c r="I22" s="81">
        <v>-5.2108899052658062</v>
      </c>
      <c r="J22" s="81">
        <v>-9.417108147050083</v>
      </c>
      <c r="K22" s="81">
        <v>-5.5476405011025545</v>
      </c>
      <c r="L22" s="81">
        <v>-6.2123664459921368</v>
      </c>
      <c r="M22" s="82">
        <v>-6.5989347705061849</v>
      </c>
      <c r="N22" s="82">
        <v>-5.9396667776143897</v>
      </c>
      <c r="O22" s="82">
        <v>-5.6794216748061928</v>
      </c>
      <c r="P22" s="82">
        <v>-5.4468099909899239</v>
      </c>
      <c r="Q22" s="82">
        <v>-5.3155391252280699</v>
      </c>
      <c r="R22" s="82">
        <v>-5.236507077526511</v>
      </c>
      <c r="S22" s="84"/>
      <c r="U22" s="75"/>
      <c r="V22" s="75"/>
      <c r="W22" s="75"/>
      <c r="X22" s="75"/>
      <c r="Y22" s="75"/>
      <c r="Z22" s="75"/>
      <c r="AA22" s="75"/>
      <c r="AB22" s="75"/>
      <c r="AC22" s="75"/>
      <c r="AD22" s="75"/>
      <c r="AE22" s="75"/>
    </row>
    <row r="23" spans="2:31" ht="12" customHeight="1" outlineLevel="1">
      <c r="B23" s="89" t="s">
        <v>104</v>
      </c>
      <c r="C23" s="80" t="s">
        <v>105</v>
      </c>
      <c r="D23" s="80" t="s">
        <v>105</v>
      </c>
      <c r="E23" s="81"/>
      <c r="F23" s="81"/>
      <c r="G23" s="81"/>
      <c r="H23" s="81">
        <v>-2.9794208043817374</v>
      </c>
      <c r="I23" s="81">
        <v>-3.3527610585153651</v>
      </c>
      <c r="J23" s="81">
        <v>-8.1521508052672846</v>
      </c>
      <c r="K23" s="81">
        <v>-4.4925561623059913</v>
      </c>
      <c r="L23" s="81">
        <v>-3.4320786449110816</v>
      </c>
      <c r="M23" s="82">
        <v>-4.9981120252645077</v>
      </c>
      <c r="N23" s="82">
        <v>-4.444302416238239</v>
      </c>
      <c r="O23" s="82">
        <v>-4.1002983983916819</v>
      </c>
      <c r="P23" s="82">
        <v>-3.8129966814051275</v>
      </c>
      <c r="Q23" s="82">
        <v>-3.6822692695192196</v>
      </c>
      <c r="R23" s="82">
        <v>-3.5719327978644211</v>
      </c>
      <c r="S23" s="84"/>
      <c r="U23" s="75"/>
      <c r="V23" s="75"/>
      <c r="W23" s="75"/>
      <c r="X23" s="75"/>
      <c r="Y23" s="75"/>
      <c r="Z23" s="75"/>
      <c r="AA23" s="75"/>
      <c r="AB23" s="75"/>
      <c r="AC23" s="75"/>
      <c r="AD23" s="75"/>
      <c r="AE23" s="75"/>
    </row>
    <row r="24" spans="2:31" ht="12" customHeight="1">
      <c r="B24" s="90" t="s">
        <v>106</v>
      </c>
      <c r="C24" s="91" t="s">
        <v>107</v>
      </c>
      <c r="D24" s="91" t="s">
        <v>107</v>
      </c>
      <c r="E24" s="81"/>
      <c r="F24" s="81"/>
      <c r="G24" s="81"/>
      <c r="H24" s="81">
        <v>-3.7139126848916542</v>
      </c>
      <c r="I24" s="81">
        <v>-4.7505755701164887</v>
      </c>
      <c r="J24" s="81">
        <v>-8.928453986042614</v>
      </c>
      <c r="K24" s="81">
        <v>-5.5209836742168603</v>
      </c>
      <c r="L24" s="81">
        <v>-6.0246175913371225</v>
      </c>
      <c r="M24" s="82">
        <v>-6.310076131907115</v>
      </c>
      <c r="N24" s="82">
        <v>-5.7053076695242124</v>
      </c>
      <c r="O24" s="82">
        <v>-5.4543201156149479</v>
      </c>
      <c r="P24" s="82">
        <v>-5.2255641907989272</v>
      </c>
      <c r="Q24" s="82">
        <v>-5.0889060079333879</v>
      </c>
      <c r="R24" s="82">
        <v>-4.9885686885519975</v>
      </c>
      <c r="S24" s="84"/>
      <c r="U24" s="75"/>
      <c r="V24" s="75"/>
      <c r="W24" s="75"/>
      <c r="X24" s="75"/>
      <c r="Y24" s="75"/>
      <c r="Z24" s="75"/>
      <c r="AA24" s="75"/>
      <c r="AB24" s="75"/>
      <c r="AC24" s="75"/>
      <c r="AD24" s="75"/>
      <c r="AE24" s="75"/>
    </row>
    <row r="25" spans="2:31" ht="12" customHeight="1">
      <c r="B25" s="83" t="s">
        <v>108</v>
      </c>
      <c r="C25" s="91" t="s">
        <v>109</v>
      </c>
      <c r="D25" s="91" t="s">
        <v>109</v>
      </c>
      <c r="E25" s="81"/>
      <c r="F25" s="81"/>
      <c r="G25" s="81"/>
      <c r="H25" s="81">
        <v>-4.2445629774169458</v>
      </c>
      <c r="I25" s="81">
        <v>-5.7987161026107419</v>
      </c>
      <c r="J25" s="81">
        <v>-9.6773707864415428</v>
      </c>
      <c r="K25" s="81">
        <v>-6.4954175672043082</v>
      </c>
      <c r="L25" s="81">
        <v>-7.4254128887383182</v>
      </c>
      <c r="M25" s="82">
        <v>-6.7732484655727836</v>
      </c>
      <c r="N25" s="82">
        <v>-6.3203489225012301</v>
      </c>
      <c r="O25" s="82">
        <v>-6.1875266236901574</v>
      </c>
      <c r="P25" s="82">
        <v>-6.049284938984421</v>
      </c>
      <c r="Q25" s="82">
        <v>-5.9423192973028387</v>
      </c>
      <c r="R25" s="82">
        <v>-5.8766042572745851</v>
      </c>
      <c r="S25" s="84"/>
      <c r="U25" s="75"/>
      <c r="V25" s="75"/>
      <c r="W25" s="75"/>
      <c r="X25" s="75"/>
      <c r="Y25" s="75"/>
      <c r="Z25" s="75"/>
      <c r="AA25" s="75"/>
      <c r="AB25" s="75"/>
      <c r="AC25" s="75"/>
      <c r="AD25" s="75"/>
      <c r="AE25" s="75"/>
    </row>
    <row r="26" spans="2:31" ht="12" customHeight="1">
      <c r="B26" s="92" t="s">
        <v>110</v>
      </c>
      <c r="C26" s="80" t="s">
        <v>111</v>
      </c>
      <c r="D26" s="80" t="s">
        <v>111</v>
      </c>
      <c r="E26" s="81"/>
      <c r="F26" s="81"/>
      <c r="G26" s="81"/>
      <c r="H26" s="81">
        <v>-4.2834925262624086</v>
      </c>
      <c r="I26" s="81">
        <v>-6.1018803244846902</v>
      </c>
      <c r="J26" s="81">
        <v>-9.7181182663532635</v>
      </c>
      <c r="K26" s="81">
        <v>-6.0450420069325839</v>
      </c>
      <c r="L26" s="81">
        <v>-7.5435381298688764</v>
      </c>
      <c r="M26" s="82">
        <v>-6.8777530897909847</v>
      </c>
      <c r="N26" s="82">
        <v>-6.3970026829274316</v>
      </c>
      <c r="O26" s="82">
        <v>-6.3190719547026957</v>
      </c>
      <c r="P26" s="82">
        <v>-6.1887074604720036</v>
      </c>
      <c r="Q26" s="82">
        <v>-6.0647272984262619</v>
      </c>
      <c r="R26" s="82">
        <v>-6.0056795746682905</v>
      </c>
      <c r="S26" s="84"/>
      <c r="U26" s="75"/>
      <c r="V26" s="75"/>
      <c r="W26" s="75"/>
      <c r="X26" s="75"/>
      <c r="Y26" s="75"/>
      <c r="Z26" s="75"/>
      <c r="AA26" s="75"/>
      <c r="AB26" s="75"/>
      <c r="AC26" s="75"/>
      <c r="AD26" s="75"/>
      <c r="AE26" s="75"/>
    </row>
    <row r="27" spans="2:31" ht="12" customHeight="1">
      <c r="B27" s="92" t="s">
        <v>112</v>
      </c>
      <c r="C27" s="80" t="s">
        <v>112</v>
      </c>
      <c r="D27" s="80" t="s">
        <v>112</v>
      </c>
      <c r="E27" s="81"/>
      <c r="F27" s="81"/>
      <c r="G27" s="81"/>
      <c r="H27" s="81">
        <v>-6.3758154589043086</v>
      </c>
      <c r="I27" s="81">
        <v>-7.6940727203449732</v>
      </c>
      <c r="J27" s="81">
        <v>-12.880098769889759</v>
      </c>
      <c r="K27" s="81">
        <v>-9.6456555762260354</v>
      </c>
      <c r="L27" s="81">
        <v>-9.5947113442539074</v>
      </c>
      <c r="M27" s="82">
        <v>-8.8954044932401128</v>
      </c>
      <c r="N27" s="82">
        <v>-8.3395803032810605</v>
      </c>
      <c r="O27" s="82">
        <v>-7.9439710867205164</v>
      </c>
      <c r="P27" s="82">
        <v>-7.7401929740920226</v>
      </c>
      <c r="Q27" s="82">
        <v>-7.6889082492915648</v>
      </c>
      <c r="R27" s="82">
        <v>-7.5876300105861523</v>
      </c>
      <c r="S27" s="84"/>
      <c r="U27" s="75"/>
      <c r="V27" s="75"/>
      <c r="W27" s="75"/>
      <c r="X27" s="75"/>
      <c r="Y27" s="75"/>
      <c r="Z27" s="75"/>
      <c r="AA27" s="75"/>
      <c r="AB27" s="75"/>
      <c r="AC27" s="75"/>
      <c r="AD27" s="75"/>
      <c r="AE27" s="75"/>
    </row>
    <row r="28" spans="2:31" ht="12" customHeight="1">
      <c r="B28" s="83" t="s">
        <v>113</v>
      </c>
      <c r="C28" s="91" t="s">
        <v>114</v>
      </c>
      <c r="D28" s="91" t="s">
        <v>114</v>
      </c>
      <c r="E28" s="81"/>
      <c r="F28" s="81"/>
      <c r="G28" s="81"/>
      <c r="H28" s="81">
        <v>0.31276718098832196</v>
      </c>
      <c r="I28" s="81">
        <v>-0.5650176232485048</v>
      </c>
      <c r="J28" s="81">
        <v>-5.4674883938400471</v>
      </c>
      <c r="K28" s="81">
        <v>-1.883968961431262</v>
      </c>
      <c r="L28" s="81">
        <v>-2.7817475310727606</v>
      </c>
      <c r="M28" s="82">
        <v>-5.7563593847009642</v>
      </c>
      <c r="N28" s="82">
        <v>-3.9560308217134077</v>
      </c>
      <c r="O28" s="82">
        <v>-3.4516451209184806</v>
      </c>
      <c r="P28" s="82">
        <v>-2.9489768342149434</v>
      </c>
      <c r="Q28" s="82">
        <v>-2.7272526725471358</v>
      </c>
      <c r="R28" s="82">
        <v>-2.4227034941703915</v>
      </c>
      <c r="S28" s="84"/>
      <c r="U28" s="75"/>
      <c r="V28" s="75"/>
      <c r="W28" s="75"/>
      <c r="X28" s="75"/>
      <c r="Y28" s="75"/>
      <c r="Z28" s="75"/>
      <c r="AA28" s="75"/>
      <c r="AB28" s="75"/>
      <c r="AC28" s="75"/>
      <c r="AD28" s="75"/>
      <c r="AE28" s="75"/>
    </row>
    <row r="29" spans="2:31" ht="12" customHeight="1">
      <c r="B29" s="92" t="s">
        <v>115</v>
      </c>
      <c r="C29" s="80" t="s">
        <v>116</v>
      </c>
      <c r="D29" s="80" t="s">
        <v>116</v>
      </c>
      <c r="E29" s="81"/>
      <c r="F29" s="81"/>
      <c r="G29" s="81"/>
      <c r="H29" s="81">
        <v>2.9233232478958047</v>
      </c>
      <c r="I29" s="81">
        <v>1.9296149315256224</v>
      </c>
      <c r="J29" s="81">
        <v>-3.9887470143996446</v>
      </c>
      <c r="K29" s="81">
        <v>0.77298643383355004</v>
      </c>
      <c r="L29" s="81">
        <v>-2.2476131841335021</v>
      </c>
      <c r="M29" s="82">
        <v>-6.2219829017943455</v>
      </c>
      <c r="N29" s="82">
        <v>-2.7775455426578883</v>
      </c>
      <c r="O29" s="82">
        <v>-1.8307091107204951</v>
      </c>
      <c r="P29" s="82">
        <v>-0.78622611857368119</v>
      </c>
      <c r="Q29" s="82">
        <v>-0.34542940058874039</v>
      </c>
      <c r="R29" s="82">
        <v>0.21122858325961885</v>
      </c>
      <c r="S29" s="84"/>
      <c r="U29" s="75"/>
      <c r="V29" s="75"/>
      <c r="W29" s="75"/>
      <c r="X29" s="75"/>
      <c r="Y29" s="75"/>
      <c r="Z29" s="75"/>
      <c r="AA29" s="75"/>
      <c r="AB29" s="75"/>
      <c r="AC29" s="75"/>
      <c r="AD29" s="75"/>
      <c r="AE29" s="75"/>
    </row>
    <row r="30" spans="2:31" ht="12" customHeight="1">
      <c r="B30" s="83" t="s">
        <v>117</v>
      </c>
      <c r="C30" s="91" t="s">
        <v>118</v>
      </c>
      <c r="D30" s="91" t="s">
        <v>118</v>
      </c>
      <c r="E30" s="81"/>
      <c r="F30" s="81"/>
      <c r="G30" s="81"/>
      <c r="H30" s="81">
        <v>-5.0146696137335969</v>
      </c>
      <c r="I30" s="81">
        <v>-4.0794423044425612</v>
      </c>
      <c r="J30" s="81">
        <v>-8.8225483597017398</v>
      </c>
      <c r="K30" s="81">
        <v>-4.4775921573063213</v>
      </c>
      <c r="L30" s="81">
        <v>-3.9054797495505746</v>
      </c>
      <c r="M30" s="82">
        <v>-5.2085452896640074</v>
      </c>
      <c r="N30" s="82">
        <v>-4.4335318969507638</v>
      </c>
      <c r="O30" s="82">
        <v>-3.6822791488261575</v>
      </c>
      <c r="P30" s="82">
        <v>-3.2326381562037305</v>
      </c>
      <c r="Q30" s="82">
        <v>-2.9571392580497968</v>
      </c>
      <c r="R30" s="82">
        <v>-2.741737829290102</v>
      </c>
      <c r="S30" s="84"/>
      <c r="U30" s="75"/>
      <c r="V30" s="75"/>
      <c r="W30" s="75"/>
      <c r="X30" s="75"/>
      <c r="Y30" s="75"/>
      <c r="Z30" s="75"/>
      <c r="AA30" s="75"/>
      <c r="AB30" s="75"/>
      <c r="AC30" s="75"/>
      <c r="AD30" s="75"/>
      <c r="AE30" s="75"/>
    </row>
    <row r="31" spans="2:31" ht="12" customHeight="1">
      <c r="B31" s="92" t="s">
        <v>119</v>
      </c>
      <c r="C31" s="80" t="s">
        <v>119</v>
      </c>
      <c r="D31" s="80" t="s">
        <v>119</v>
      </c>
      <c r="E31" s="81"/>
      <c r="F31" s="81"/>
      <c r="G31" s="81"/>
      <c r="H31" s="81">
        <v>-6.9597243647358074</v>
      </c>
      <c r="I31" s="81">
        <v>-5.8074097946532515</v>
      </c>
      <c r="J31" s="81">
        <v>-13.317606118051192</v>
      </c>
      <c r="K31" s="81">
        <v>-4.3008141613243085</v>
      </c>
      <c r="L31" s="81">
        <v>-4.5748490822378169</v>
      </c>
      <c r="M31" s="82">
        <v>-8.7988213451464521</v>
      </c>
      <c r="N31" s="82">
        <v>-8.1902011134787749</v>
      </c>
      <c r="O31" s="82">
        <v>-6.6022749268108072</v>
      </c>
      <c r="P31" s="82">
        <v>-5.5381377665554705</v>
      </c>
      <c r="Q31" s="82">
        <v>-4.8999466794279742</v>
      </c>
      <c r="R31" s="82">
        <v>-4.3522756287282105</v>
      </c>
      <c r="S31" s="84"/>
      <c r="U31" s="75"/>
      <c r="V31" s="75"/>
      <c r="W31" s="75"/>
      <c r="X31" s="75"/>
      <c r="Y31" s="75"/>
      <c r="Z31" s="75"/>
      <c r="AA31" s="75"/>
      <c r="AB31" s="75"/>
      <c r="AC31" s="75"/>
      <c r="AD31" s="75"/>
      <c r="AE31" s="75"/>
    </row>
    <row r="32" spans="2:31" ht="12" customHeight="1">
      <c r="B32" s="92" t="s">
        <v>120</v>
      </c>
      <c r="C32" s="80" t="s">
        <v>120</v>
      </c>
      <c r="D32" s="80" t="s">
        <v>120</v>
      </c>
      <c r="E32" s="81"/>
      <c r="F32" s="81"/>
      <c r="G32" s="81"/>
      <c r="H32" s="81">
        <v>-2.1978844836602422</v>
      </c>
      <c r="I32" s="81">
        <v>-2.3286537235169908</v>
      </c>
      <c r="J32" s="81">
        <v>-4.4102775723364207</v>
      </c>
      <c r="K32" s="81">
        <v>-3.8754168299187803</v>
      </c>
      <c r="L32" s="81">
        <v>-4.4301567104524162</v>
      </c>
      <c r="M32" s="82">
        <v>-4.111719796686427</v>
      </c>
      <c r="N32" s="82">
        <v>-2.6943401277527208</v>
      </c>
      <c r="O32" s="82">
        <v>-2.6548982614824022</v>
      </c>
      <c r="P32" s="82">
        <v>-2.655587922162657</v>
      </c>
      <c r="Q32" s="82">
        <v>-2.6694451267620916</v>
      </c>
      <c r="R32" s="82">
        <v>-2.6664789399974054</v>
      </c>
      <c r="S32" s="84"/>
      <c r="U32" s="75"/>
      <c r="V32" s="75"/>
      <c r="W32" s="75"/>
      <c r="X32" s="75"/>
      <c r="Y32" s="75"/>
      <c r="Z32" s="75"/>
      <c r="AA32" s="75"/>
      <c r="AB32" s="75"/>
      <c r="AC32" s="75"/>
      <c r="AD32" s="75"/>
      <c r="AE32" s="75"/>
    </row>
    <row r="33" spans="1:31" ht="12" customHeight="1">
      <c r="B33" s="83" t="s">
        <v>121</v>
      </c>
      <c r="C33" s="91" t="s">
        <v>122</v>
      </c>
      <c r="D33" s="91" t="s">
        <v>122</v>
      </c>
      <c r="E33" s="81"/>
      <c r="F33" s="81"/>
      <c r="G33" s="81"/>
      <c r="H33" s="81">
        <v>-1.668827744468296</v>
      </c>
      <c r="I33" s="81">
        <v>-2.5143623660410404</v>
      </c>
      <c r="J33" s="81">
        <v>-8.5298341701613669</v>
      </c>
      <c r="K33" s="81">
        <v>-2.068011693311111</v>
      </c>
      <c r="L33" s="81">
        <v>2.5991311047295089</v>
      </c>
      <c r="M33" s="82">
        <v>-0.95864879407604575</v>
      </c>
      <c r="N33" s="82">
        <v>-1.677570993021666</v>
      </c>
      <c r="O33" s="82">
        <v>-1.9800664056929536</v>
      </c>
      <c r="P33" s="82">
        <v>-1.9362719642530142</v>
      </c>
      <c r="Q33" s="82">
        <v>-1.9129280765240191</v>
      </c>
      <c r="R33" s="82">
        <v>-2.0565026838564036</v>
      </c>
      <c r="S33" s="93"/>
      <c r="U33" s="75"/>
      <c r="V33" s="75"/>
      <c r="W33" s="75"/>
      <c r="X33" s="75"/>
      <c r="Y33" s="75"/>
      <c r="Z33" s="75"/>
      <c r="AA33" s="75"/>
      <c r="AB33" s="75"/>
      <c r="AC33" s="75"/>
      <c r="AD33" s="75"/>
      <c r="AE33" s="75"/>
    </row>
    <row r="34" spans="1:31" ht="12" customHeight="1">
      <c r="B34" s="94" t="s">
        <v>123</v>
      </c>
      <c r="C34" s="91" t="s">
        <v>123</v>
      </c>
      <c r="D34" s="91" t="s">
        <v>123</v>
      </c>
      <c r="E34" s="81"/>
      <c r="F34" s="81"/>
      <c r="G34" s="81"/>
      <c r="H34" s="81">
        <v>-5.4537940566776779</v>
      </c>
      <c r="I34" s="81">
        <v>-4.2025745559081864</v>
      </c>
      <c r="J34" s="81">
        <v>-10.679921758718917</v>
      </c>
      <c r="K34" s="81">
        <v>-2.2549135790946697</v>
      </c>
      <c r="L34" s="81">
        <v>2.5106618407111601</v>
      </c>
      <c r="M34" s="82">
        <v>-1.0869411156139472</v>
      </c>
      <c r="N34" s="82">
        <v>-1.1881820119996049</v>
      </c>
      <c r="O34" s="82">
        <v>-0.84549262861840169</v>
      </c>
      <c r="P34" s="82">
        <v>-0.25903527551688338</v>
      </c>
      <c r="Q34" s="82">
        <v>-7.5327328010873745E-2</v>
      </c>
      <c r="R34" s="82">
        <v>-0.32550618705685092</v>
      </c>
      <c r="S34" s="93"/>
      <c r="U34" s="75"/>
      <c r="V34" s="75"/>
      <c r="W34" s="75"/>
      <c r="X34" s="75"/>
      <c r="Y34" s="75"/>
      <c r="Z34" s="75"/>
      <c r="AA34" s="75"/>
      <c r="AB34" s="75"/>
      <c r="AC34" s="75"/>
      <c r="AD34" s="75"/>
      <c r="AE34" s="75"/>
    </row>
    <row r="35" spans="1:31" ht="12" customHeight="1">
      <c r="B35" s="83" t="s">
        <v>124</v>
      </c>
      <c r="C35" s="80" t="s">
        <v>124</v>
      </c>
      <c r="D35" s="80" t="s">
        <v>124</v>
      </c>
      <c r="E35" s="81"/>
      <c r="F35" s="81"/>
      <c r="G35" s="81"/>
      <c r="H35" s="81">
        <v>-3.7424340015443267</v>
      </c>
      <c r="I35" s="81">
        <v>-4.7055927188387621</v>
      </c>
      <c r="J35" s="81">
        <v>-9.6308382383321973</v>
      </c>
      <c r="K35" s="81">
        <v>-5.5511308321990303</v>
      </c>
      <c r="L35" s="81">
        <v>-4.485230438267152</v>
      </c>
      <c r="M35" s="82">
        <v>-5.899916015621324</v>
      </c>
      <c r="N35" s="82">
        <v>-6.1174422155911268</v>
      </c>
      <c r="O35" s="82">
        <v>-6.7444320702644651</v>
      </c>
      <c r="P35" s="82">
        <v>-6.3488787951618368</v>
      </c>
      <c r="Q35" s="82">
        <v>-6.2874012331186417</v>
      </c>
      <c r="R35" s="82">
        <v>-6.4607911218343039</v>
      </c>
      <c r="S35" s="84"/>
      <c r="U35" s="75"/>
      <c r="V35" s="75"/>
      <c r="W35" s="75"/>
      <c r="X35" s="75"/>
      <c r="Y35" s="75"/>
      <c r="Z35" s="75"/>
      <c r="AA35" s="75"/>
      <c r="AB35" s="75"/>
      <c r="AC35" s="75"/>
      <c r="AD35" s="75"/>
      <c r="AE35" s="75"/>
    </row>
    <row r="36" spans="1:31" ht="15" customHeight="1" collapsed="1">
      <c r="B36" s="95" t="s">
        <v>125</v>
      </c>
      <c r="C36" s="96" t="s">
        <v>125</v>
      </c>
      <c r="D36" s="96" t="s">
        <v>125</v>
      </c>
      <c r="E36" s="73"/>
      <c r="F36" s="73"/>
      <c r="G36" s="73"/>
      <c r="H36" s="73">
        <v>-3.2641369818030088</v>
      </c>
      <c r="I36" s="73">
        <v>-3.485169741714778</v>
      </c>
      <c r="J36" s="73">
        <v>-4.9539254415564189</v>
      </c>
      <c r="K36" s="73">
        <v>-4.7066735818787233</v>
      </c>
      <c r="L36" s="73">
        <v>-4.2086043805622086</v>
      </c>
      <c r="M36" s="74">
        <v>-4.2355125023429121</v>
      </c>
      <c r="N36" s="74">
        <v>-3.9579029617274619</v>
      </c>
      <c r="O36" s="74">
        <v>-3.8062035849477769</v>
      </c>
      <c r="P36" s="74">
        <v>-3.6991985860674581</v>
      </c>
      <c r="Q36" s="74">
        <v>-3.7010756133523044</v>
      </c>
      <c r="R36" s="74">
        <v>-3.6266192826869279</v>
      </c>
      <c r="S36" s="84"/>
      <c r="U36" s="75"/>
      <c r="V36" s="75"/>
      <c r="W36" s="75"/>
      <c r="X36" s="75"/>
      <c r="Y36" s="75"/>
      <c r="Z36" s="75"/>
      <c r="AA36" s="75"/>
      <c r="AB36" s="75"/>
      <c r="AC36" s="75"/>
      <c r="AD36" s="75"/>
      <c r="AE36" s="75"/>
    </row>
    <row r="37" spans="1:31" ht="12" customHeight="1">
      <c r="B37" s="85" t="s">
        <v>126</v>
      </c>
      <c r="C37" s="97" t="s">
        <v>126</v>
      </c>
      <c r="D37" s="97" t="s">
        <v>126</v>
      </c>
      <c r="E37" s="81"/>
      <c r="F37" s="81"/>
      <c r="G37" s="81"/>
      <c r="H37" s="81">
        <v>-6.9086675412477847</v>
      </c>
      <c r="I37" s="81">
        <v>-7.3997744484436456</v>
      </c>
      <c r="J37" s="81">
        <v>-8.1297059398373523</v>
      </c>
      <c r="K37" s="81">
        <v>-7.1397446182121129</v>
      </c>
      <c r="L37" s="81">
        <v>-6.0450110124511038</v>
      </c>
      <c r="M37" s="82">
        <v>-5.2165511224997703</v>
      </c>
      <c r="N37" s="82">
        <v>-4.4158398174382185</v>
      </c>
      <c r="O37" s="82">
        <v>-3.9436268928623384</v>
      </c>
      <c r="P37" s="82">
        <v>-3.9105332797413377</v>
      </c>
      <c r="Q37" s="82">
        <v>-4.0483851632769747</v>
      </c>
      <c r="R37" s="82">
        <v>-3.929109358073223</v>
      </c>
      <c r="S37" s="84"/>
      <c r="U37" s="75"/>
      <c r="V37" s="75"/>
      <c r="W37" s="75"/>
      <c r="X37" s="75"/>
      <c r="Y37" s="75"/>
      <c r="Z37" s="75"/>
      <c r="AA37" s="75"/>
      <c r="AB37" s="75"/>
      <c r="AC37" s="75"/>
      <c r="AD37" s="75"/>
      <c r="AE37" s="75"/>
    </row>
    <row r="38" spans="1:31" ht="12" customHeight="1">
      <c r="B38" s="94" t="s">
        <v>127</v>
      </c>
      <c r="C38" s="96" t="s">
        <v>127</v>
      </c>
      <c r="D38" s="96" t="s">
        <v>127</v>
      </c>
      <c r="E38" s="81"/>
      <c r="F38" s="81"/>
      <c r="G38" s="81"/>
      <c r="H38" s="81">
        <v>-4.3149828047863963</v>
      </c>
      <c r="I38" s="81">
        <v>-4.6903902061262031</v>
      </c>
      <c r="J38" s="81">
        <v>-5.580140572587668</v>
      </c>
      <c r="K38" s="81">
        <v>-6.028977517574674</v>
      </c>
      <c r="L38" s="81">
        <v>-5.480980374473261</v>
      </c>
      <c r="M38" s="82">
        <v>-5.3317805547850945</v>
      </c>
      <c r="N38" s="82">
        <v>-5.412245929147673</v>
      </c>
      <c r="O38" s="82">
        <v>-5.5653315914722219</v>
      </c>
      <c r="P38" s="82">
        <v>-5.7826884189060213</v>
      </c>
      <c r="Q38" s="82">
        <v>-5.9672192263564092</v>
      </c>
      <c r="R38" s="82">
        <v>-6.095262490578091</v>
      </c>
      <c r="S38" s="84"/>
      <c r="U38" s="75"/>
      <c r="V38" s="75"/>
      <c r="W38" s="75"/>
      <c r="X38" s="75"/>
      <c r="Y38" s="75"/>
      <c r="Z38" s="75"/>
      <c r="AA38" s="75"/>
      <c r="AB38" s="75"/>
      <c r="AC38" s="75"/>
      <c r="AD38" s="75"/>
      <c r="AE38" s="75"/>
    </row>
    <row r="39" spans="1:31" ht="12" customHeight="1">
      <c r="B39" s="94" t="s">
        <v>128</v>
      </c>
      <c r="C39" s="97" t="s">
        <v>128</v>
      </c>
      <c r="D39" s="97" t="s">
        <v>128</v>
      </c>
      <c r="E39" s="81"/>
      <c r="F39" s="81"/>
      <c r="G39" s="81"/>
      <c r="H39" s="81">
        <v>-1.0210523084695162</v>
      </c>
      <c r="I39" s="81">
        <v>-0.39674069520902483</v>
      </c>
      <c r="J39" s="81">
        <v>-2.8611655103453781</v>
      </c>
      <c r="K39" s="81">
        <v>-3.4333307801312998</v>
      </c>
      <c r="L39" s="81">
        <v>-2.4762113688492327</v>
      </c>
      <c r="M39" s="82">
        <v>-3.3107658002453064</v>
      </c>
      <c r="N39" s="82">
        <v>-3.0739607325548932</v>
      </c>
      <c r="O39" s="82">
        <v>-2.8901026380546448</v>
      </c>
      <c r="P39" s="82">
        <v>-2.5351802727928443</v>
      </c>
      <c r="Q39" s="82">
        <v>-2.3327227088966862</v>
      </c>
      <c r="R39" s="82">
        <v>-1.9508516738034478</v>
      </c>
      <c r="S39" s="84"/>
      <c r="U39" s="75"/>
      <c r="V39" s="75"/>
      <c r="W39" s="75"/>
      <c r="X39" s="75"/>
      <c r="Y39" s="75"/>
      <c r="Z39" s="75"/>
      <c r="AA39" s="75"/>
      <c r="AB39" s="75"/>
      <c r="AC39" s="75"/>
      <c r="AD39" s="75"/>
      <c r="AE39" s="75"/>
    </row>
    <row r="40" spans="1:31" ht="15" customHeight="1">
      <c r="B40" s="76" t="s">
        <v>129</v>
      </c>
      <c r="C40" s="72" t="s">
        <v>129</v>
      </c>
      <c r="D40" s="72" t="s">
        <v>129</v>
      </c>
      <c r="E40" s="73"/>
      <c r="F40" s="73"/>
      <c r="G40" s="73"/>
      <c r="H40" s="73">
        <v>0.43011547869976624</v>
      </c>
      <c r="I40" s="73">
        <v>-0.12522816056327032</v>
      </c>
      <c r="J40" s="73">
        <v>-7.4663875361867209</v>
      </c>
      <c r="K40" s="73">
        <v>-1.1083910506738175</v>
      </c>
      <c r="L40" s="73">
        <v>1.9689336934142567</v>
      </c>
      <c r="M40" s="74">
        <v>-0.25194099916237911</v>
      </c>
      <c r="N40" s="74">
        <v>0.11444148880193153</v>
      </c>
      <c r="O40" s="74">
        <v>-3.7118323050198687E-2</v>
      </c>
      <c r="P40" s="74">
        <v>-9.0354642870171583E-3</v>
      </c>
      <c r="Q40" s="74">
        <v>-0.10890847918948005</v>
      </c>
      <c r="R40" s="74">
        <v>-0.22536226207596113</v>
      </c>
      <c r="S40" s="78"/>
      <c r="T40" s="75"/>
      <c r="U40" s="75"/>
      <c r="V40" s="75"/>
      <c r="W40" s="75"/>
      <c r="X40" s="75"/>
      <c r="Y40" s="75"/>
      <c r="Z40" s="75"/>
      <c r="AA40" s="75"/>
      <c r="AB40" s="75"/>
      <c r="AC40" s="75"/>
      <c r="AD40" s="75"/>
      <c r="AE40" s="75"/>
    </row>
    <row r="41" spans="1:31">
      <c r="B41" s="98"/>
      <c r="C41" s="80"/>
      <c r="D41" s="80"/>
      <c r="E41" s="73"/>
      <c r="F41" s="73"/>
      <c r="G41" s="73"/>
      <c r="H41" s="73"/>
      <c r="I41" s="73"/>
      <c r="J41" s="73"/>
      <c r="K41" s="73"/>
      <c r="L41" s="73"/>
      <c r="M41" s="74"/>
      <c r="N41" s="74"/>
      <c r="O41" s="74"/>
      <c r="P41" s="74"/>
      <c r="Q41" s="74"/>
      <c r="R41" s="74"/>
      <c r="S41" s="78"/>
      <c r="T41" s="75"/>
      <c r="U41" s="75"/>
      <c r="V41" s="75"/>
      <c r="W41" s="75"/>
      <c r="X41" s="75"/>
      <c r="Y41" s="75"/>
      <c r="Z41" s="75"/>
      <c r="AA41" s="75"/>
      <c r="AB41" s="75"/>
      <c r="AC41" s="75"/>
      <c r="AD41" s="75"/>
      <c r="AE41" s="75"/>
    </row>
    <row r="42" spans="1:31">
      <c r="B42" s="71" t="s">
        <v>130</v>
      </c>
      <c r="C42" s="72"/>
      <c r="D42" s="72"/>
      <c r="E42" s="73"/>
      <c r="F42" s="73"/>
      <c r="G42" s="73"/>
      <c r="H42" s="73"/>
      <c r="I42" s="73"/>
      <c r="J42" s="73"/>
      <c r="K42" s="73"/>
      <c r="L42" s="73"/>
      <c r="M42" s="74"/>
      <c r="N42" s="74"/>
      <c r="O42" s="74"/>
      <c r="P42" s="74"/>
      <c r="Q42" s="74"/>
      <c r="R42" s="74"/>
      <c r="S42" s="99"/>
      <c r="T42" s="75"/>
      <c r="U42" s="75"/>
      <c r="V42" s="75"/>
      <c r="W42" s="75"/>
      <c r="X42" s="75"/>
      <c r="Y42" s="75"/>
      <c r="Z42" s="75"/>
      <c r="AA42" s="75"/>
      <c r="AB42" s="75"/>
      <c r="AC42" s="75"/>
      <c r="AD42" s="75"/>
      <c r="AE42" s="75"/>
    </row>
    <row r="43" spans="1:31">
      <c r="B43" s="100" t="s">
        <v>131</v>
      </c>
      <c r="C43" s="77" t="s">
        <v>83</v>
      </c>
      <c r="D43" s="77" t="s">
        <v>83</v>
      </c>
      <c r="E43" s="73"/>
      <c r="F43" s="73"/>
      <c r="G43" s="73"/>
      <c r="H43" s="73">
        <v>3.6298928887068289</v>
      </c>
      <c r="I43" s="73">
        <v>2.8099227534706643</v>
      </c>
      <c r="J43" s="73">
        <v>-2.8049867203720797</v>
      </c>
      <c r="K43" s="73">
        <v>6.2745933922529726</v>
      </c>
      <c r="L43" s="73">
        <v>3.4158962441226466</v>
      </c>
      <c r="M43" s="74">
        <v>2.8307923101191421</v>
      </c>
      <c r="N43" s="74">
        <v>3.022538583773787</v>
      </c>
      <c r="O43" s="74">
        <v>3.1570459179554975</v>
      </c>
      <c r="P43" s="74">
        <v>3.1601016868818341</v>
      </c>
      <c r="Q43" s="74">
        <v>3.0654391727744832</v>
      </c>
      <c r="R43" s="74">
        <v>3.0493571747057158</v>
      </c>
      <c r="S43" s="99"/>
      <c r="T43" s="75"/>
      <c r="U43" s="75"/>
      <c r="V43" s="75"/>
      <c r="W43" s="75"/>
      <c r="X43" s="75"/>
      <c r="Y43" s="75"/>
      <c r="Z43" s="75"/>
      <c r="AA43" s="75"/>
      <c r="AB43" s="75"/>
      <c r="AC43" s="75"/>
      <c r="AD43" s="75"/>
      <c r="AE43" s="75"/>
    </row>
    <row r="44" spans="1:31" ht="1.5" hidden="1" customHeight="1">
      <c r="B44" s="98"/>
      <c r="C44" s="100"/>
      <c r="D44" s="100"/>
      <c r="E44" s="81"/>
      <c r="F44" s="81"/>
      <c r="G44" s="81"/>
      <c r="H44" s="81"/>
      <c r="I44" s="101"/>
      <c r="J44" s="101"/>
      <c r="K44" s="102"/>
      <c r="L44" s="102"/>
      <c r="M44" s="102"/>
      <c r="N44" s="102"/>
      <c r="O44" s="102"/>
      <c r="P44" s="102"/>
      <c r="Q44" s="102"/>
    </row>
    <row r="45" spans="1:31" ht="3.75" customHeight="1">
      <c r="B45" s="103"/>
      <c r="C45" s="104"/>
      <c r="D45" s="104"/>
      <c r="E45" s="105"/>
      <c r="F45" s="105"/>
      <c r="G45" s="105"/>
      <c r="H45" s="105"/>
      <c r="I45" s="106"/>
      <c r="J45" s="106"/>
      <c r="K45" s="106"/>
      <c r="L45" s="106"/>
      <c r="M45" s="106"/>
      <c r="N45" s="106"/>
      <c r="O45" s="106"/>
      <c r="P45" s="106"/>
      <c r="Q45" s="106"/>
      <c r="R45" s="106"/>
      <c r="S45" s="101"/>
    </row>
    <row r="46" spans="1:31" s="57" customFormat="1" ht="11.25" customHeight="1">
      <c r="A46" s="55"/>
      <c r="B46" s="587" t="s">
        <v>132</v>
      </c>
      <c r="C46" s="587"/>
      <c r="D46" s="587"/>
      <c r="E46" s="587"/>
      <c r="F46" s="587"/>
      <c r="G46" s="587"/>
      <c r="H46" s="587"/>
      <c r="I46" s="587"/>
      <c r="J46" s="587"/>
      <c r="K46" s="587"/>
      <c r="L46" s="587"/>
      <c r="M46" s="587"/>
      <c r="N46" s="587"/>
      <c r="O46" s="587"/>
      <c r="P46" s="587"/>
      <c r="Q46" s="587"/>
      <c r="R46" s="587"/>
      <c r="S46" s="55"/>
    </row>
    <row r="47" spans="1:31" s="57" customFormat="1" ht="45" customHeight="1">
      <c r="A47" s="55"/>
      <c r="B47" s="581" t="s">
        <v>133</v>
      </c>
      <c r="C47" s="581"/>
      <c r="D47" s="581"/>
      <c r="E47" s="581"/>
      <c r="F47" s="581"/>
      <c r="G47" s="581"/>
      <c r="H47" s="581"/>
      <c r="I47" s="581"/>
      <c r="J47" s="581"/>
      <c r="K47" s="581"/>
      <c r="L47" s="581"/>
      <c r="M47" s="581"/>
      <c r="N47" s="581"/>
      <c r="O47" s="581"/>
      <c r="P47" s="581"/>
      <c r="Q47" s="581"/>
      <c r="R47" s="581"/>
      <c r="S47" s="107"/>
    </row>
    <row r="48" spans="1:31" s="57" customFormat="1" ht="12.75" customHeight="1">
      <c r="A48" s="55"/>
      <c r="B48" s="583" t="s">
        <v>134</v>
      </c>
      <c r="C48" s="583"/>
      <c r="D48" s="583"/>
      <c r="E48" s="583"/>
      <c r="F48" s="583"/>
      <c r="G48" s="583"/>
      <c r="H48" s="583"/>
      <c r="I48" s="583"/>
      <c r="J48" s="583"/>
      <c r="K48" s="583"/>
      <c r="L48" s="583"/>
      <c r="M48" s="583"/>
      <c r="N48" s="583"/>
      <c r="O48" s="583"/>
      <c r="P48" s="583"/>
      <c r="Q48" s="583"/>
      <c r="R48" s="583"/>
      <c r="S48" s="107"/>
    </row>
    <row r="49" spans="1:20" s="57" customFormat="1" ht="38.25" customHeight="1">
      <c r="A49" s="55"/>
      <c r="B49" s="581" t="s">
        <v>135</v>
      </c>
      <c r="C49" s="581"/>
      <c r="D49" s="581"/>
      <c r="E49" s="581"/>
      <c r="F49" s="581"/>
      <c r="G49" s="581"/>
      <c r="H49" s="581"/>
      <c r="I49" s="581"/>
      <c r="J49" s="581"/>
      <c r="K49" s="581"/>
      <c r="L49" s="581"/>
      <c r="M49" s="581"/>
      <c r="N49" s="581"/>
      <c r="O49" s="581"/>
      <c r="P49" s="581"/>
      <c r="Q49" s="581"/>
      <c r="R49" s="581"/>
    </row>
    <row r="50" spans="1:20" s="57" customFormat="1" ht="29.25" customHeight="1">
      <c r="A50" s="55"/>
      <c r="B50" s="582" t="s">
        <v>136</v>
      </c>
      <c r="C50" s="582"/>
      <c r="D50" s="582"/>
      <c r="E50" s="582"/>
      <c r="F50" s="582"/>
      <c r="G50" s="582"/>
      <c r="H50" s="582"/>
      <c r="I50" s="582"/>
      <c r="J50" s="582"/>
      <c r="K50" s="582"/>
      <c r="L50" s="582"/>
      <c r="M50" s="582"/>
      <c r="N50" s="582"/>
      <c r="O50" s="582"/>
      <c r="P50" s="582"/>
      <c r="Q50" s="582"/>
      <c r="R50" s="582"/>
    </row>
    <row r="51" spans="1:20">
      <c r="B51" s="583"/>
      <c r="C51" s="583"/>
      <c r="D51" s="583"/>
      <c r="E51" s="583"/>
      <c r="F51" s="583"/>
      <c r="G51" s="583"/>
      <c r="H51" s="583"/>
      <c r="I51" s="583"/>
      <c r="J51" s="583"/>
      <c r="K51" s="583"/>
      <c r="L51" s="583"/>
      <c r="M51" s="583"/>
      <c r="N51" s="583"/>
      <c r="O51" s="583"/>
      <c r="P51" s="583"/>
      <c r="Q51" s="583"/>
      <c r="R51" s="583"/>
    </row>
    <row r="52" spans="1:20" ht="15">
      <c r="T52" s="108"/>
    </row>
    <row r="58" spans="1:20" ht="15">
      <c r="E58" s="102"/>
      <c r="F58" s="102"/>
    </row>
    <row r="59" spans="1:20" ht="15">
      <c r="E59" s="109"/>
      <c r="F59" s="109"/>
    </row>
    <row r="60" spans="1:20" ht="15">
      <c r="E60" s="109"/>
      <c r="F60" s="109"/>
      <c r="G60" s="102"/>
      <c r="H60" s="110"/>
    </row>
  </sheetData>
  <mergeCells count="9">
    <mergeCell ref="B49:R49"/>
    <mergeCell ref="B50:R50"/>
    <mergeCell ref="B51:R51"/>
    <mergeCell ref="B2:R2"/>
    <mergeCell ref="B4:R4"/>
    <mergeCell ref="M5:R5"/>
    <mergeCell ref="B46:R46"/>
    <mergeCell ref="B47:R47"/>
    <mergeCell ref="B48:R48"/>
  </mergeCells>
  <conditionalFormatting sqref="H60">
    <cfRule type="colorScale" priority="1">
      <colorScale>
        <cfvo type="num" val="1"/>
        <cfvo type="num" val="3"/>
        <cfvo type="num" val="5"/>
        <color theme="5" tint="-0.249977111117893"/>
        <color theme="0" tint="-0.14999847407452621"/>
        <color theme="3" tint="0.39997558519241921"/>
      </colorScale>
    </cfRule>
  </conditionalFormatting>
  <conditionalFormatting sqref="S9:S41">
    <cfRule type="cellIs" dxfId="45" priority="2" stopIfTrue="1" operator="lessThan">
      <formula>-30</formula>
    </cfRule>
    <cfRule type="cellIs" dxfId="44" priority="3" stopIfTrue="1" operator="greaterThan">
      <formula>30</formula>
    </cfRule>
  </conditionalFormatting>
  <hyperlinks>
    <hyperlink ref="B50:R50" r:id="rId1" location=":~:text=Following%20an%20impressive%20recovery%20from,and%20global%20demand%20has%20slowed." display="3 China’s deficit and public debt numbers presented in this table cover a narrower perimeter of the general government than IMF staff’s estimates in China Article IV reports (see IMF 2023 for a reconciliation of the two estimates). " xr:uid="{4CCC3F31-AAFD-48EA-B71A-754AE577D414}"/>
  </hyperlinks>
  <pageMargins left="0.75" right="0.75" top="1" bottom="1" header="0.5" footer="0.5"/>
  <pageSetup scale="46" orientation="landscape" r:id="rId2"/>
  <headerFooter alignWithMargins="0"/>
  <drawing r:id="rId3"/>
  <extLst>
    <ext xmlns:x14="http://schemas.microsoft.com/office/spreadsheetml/2009/9/main" uri="{78C0D931-6437-407d-A8EE-F0AAD7539E65}">
      <x14:conditionalFormattings>
        <x14:conditionalFormatting xmlns:xm="http://schemas.microsoft.com/office/excel/2006/main">
          <x14:cfRule type="iconSet" priority="4" id="{F798BE5E-A32D-448A-BBA1-98B762ED9909}">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H60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25EE4-702C-45AC-B5AC-835A1F00CDFD}">
  <dimension ref="A1:AF43"/>
  <sheetViews>
    <sheetView zoomScaleNormal="100" workbookViewId="0">
      <selection activeCell="B88" sqref="B88:K88"/>
    </sheetView>
  </sheetViews>
  <sheetFormatPr defaultRowHeight="12.75"/>
  <sheetData>
    <row r="1" spans="1:32" ht="15">
      <c r="A1" s="276"/>
      <c r="B1" s="252" t="s">
        <v>33</v>
      </c>
      <c r="C1" s="276"/>
      <c r="D1" s="276"/>
      <c r="E1" s="276"/>
      <c r="F1" s="276"/>
      <c r="G1" s="276"/>
      <c r="H1" s="276"/>
      <c r="I1" s="276"/>
      <c r="J1" s="276"/>
      <c r="K1" s="276"/>
      <c r="L1" s="276"/>
      <c r="M1" s="276"/>
      <c r="N1" s="276"/>
      <c r="O1" s="276"/>
      <c r="P1" s="276"/>
      <c r="Q1" s="276"/>
    </row>
    <row r="2" spans="1:32">
      <c r="A2" s="276"/>
      <c r="B2" s="253" t="s">
        <v>527</v>
      </c>
      <c r="C2" s="276"/>
      <c r="D2" s="276"/>
      <c r="E2" s="276"/>
      <c r="F2" s="276"/>
      <c r="G2" s="276"/>
      <c r="H2" s="276"/>
      <c r="I2" s="276"/>
      <c r="J2" s="276"/>
      <c r="K2" s="276"/>
      <c r="L2" s="276"/>
      <c r="M2" s="276"/>
      <c r="N2" s="276"/>
      <c r="O2" s="276"/>
      <c r="P2" s="276"/>
      <c r="Q2" s="276"/>
    </row>
    <row r="3" spans="1:32">
      <c r="A3" s="276"/>
      <c r="B3" s="276"/>
      <c r="C3" s="276"/>
      <c r="D3" s="276"/>
      <c r="E3" s="276"/>
      <c r="F3" s="276"/>
      <c r="G3" s="276"/>
      <c r="H3" s="276"/>
      <c r="I3" s="276"/>
      <c r="J3" s="276"/>
      <c r="K3" s="276"/>
      <c r="L3" s="276"/>
      <c r="M3" s="276"/>
      <c r="N3" s="276"/>
      <c r="O3" s="276"/>
      <c r="P3" s="276"/>
      <c r="Q3" s="276"/>
      <c r="S3" s="268" t="s">
        <v>528</v>
      </c>
      <c r="T3" s="268" t="s">
        <v>529</v>
      </c>
      <c r="U3" s="268" t="s">
        <v>530</v>
      </c>
      <c r="V3" s="268" t="s">
        <v>531</v>
      </c>
      <c r="W3" s="268"/>
      <c r="X3" s="268" t="s">
        <v>528</v>
      </c>
      <c r="Y3" s="268" t="s">
        <v>529</v>
      </c>
      <c r="Z3" s="268" t="s">
        <v>530</v>
      </c>
      <c r="AA3" s="268" t="s">
        <v>531</v>
      </c>
      <c r="AB3" s="268"/>
      <c r="AC3" s="268" t="s">
        <v>528</v>
      </c>
      <c r="AD3" s="268" t="s">
        <v>529</v>
      </c>
      <c r="AE3" s="268" t="s">
        <v>530</v>
      </c>
      <c r="AF3" s="268" t="s">
        <v>531</v>
      </c>
    </row>
    <row r="4" spans="1:32">
      <c r="A4" s="276"/>
      <c r="B4" s="276"/>
      <c r="C4" s="276"/>
      <c r="D4" s="276"/>
      <c r="E4" s="276"/>
      <c r="F4" s="276"/>
      <c r="G4" s="276"/>
      <c r="H4" s="276"/>
      <c r="I4" s="276"/>
      <c r="J4" s="276"/>
      <c r="K4" s="276"/>
      <c r="L4" s="276"/>
      <c r="M4" s="276"/>
      <c r="N4" s="276"/>
      <c r="O4" s="276"/>
      <c r="P4" s="276"/>
      <c r="Q4" s="276"/>
      <c r="S4" s="269">
        <v>-1</v>
      </c>
      <c r="T4" s="275">
        <v>0</v>
      </c>
      <c r="U4" s="275">
        <v>0</v>
      </c>
      <c r="V4" s="275">
        <v>0</v>
      </c>
      <c r="W4" s="268"/>
      <c r="X4" s="269">
        <v>-1</v>
      </c>
      <c r="Y4" s="275">
        <v>0</v>
      </c>
      <c r="Z4" s="275">
        <v>0</v>
      </c>
      <c r="AA4" s="275">
        <v>0</v>
      </c>
      <c r="AB4" s="268"/>
      <c r="AC4" s="269">
        <v>-1</v>
      </c>
      <c r="AD4" s="275">
        <v>0</v>
      </c>
      <c r="AE4" s="275">
        <v>0</v>
      </c>
      <c r="AF4" s="275">
        <v>0</v>
      </c>
    </row>
    <row r="5" spans="1:32">
      <c r="A5" s="276"/>
      <c r="B5" s="276"/>
      <c r="C5" s="276"/>
      <c r="D5" s="276"/>
      <c r="E5" s="276"/>
      <c r="F5" s="276"/>
      <c r="G5" s="276"/>
      <c r="H5" s="276"/>
      <c r="I5" s="276"/>
      <c r="J5" s="276"/>
      <c r="K5" s="276"/>
      <c r="L5" s="276"/>
      <c r="M5" s="276"/>
      <c r="N5" s="276"/>
      <c r="O5" s="276"/>
      <c r="P5" s="276"/>
      <c r="Q5" s="276"/>
      <c r="S5" s="269">
        <v>0</v>
      </c>
      <c r="T5" s="275">
        <v>0.74323206115388529</v>
      </c>
      <c r="U5" s="275">
        <v>0.98087995350842339</v>
      </c>
      <c r="V5" s="275">
        <v>0.5055841687993472</v>
      </c>
      <c r="W5" s="268"/>
      <c r="X5" s="269">
        <v>0</v>
      </c>
      <c r="Y5" s="275">
        <v>0.37601430348336273</v>
      </c>
      <c r="Z5" s="275">
        <v>0.73747802013420416</v>
      </c>
      <c r="AA5" s="275">
        <v>1.4550586832521251E-2</v>
      </c>
      <c r="AB5" s="268"/>
      <c r="AC5" s="269">
        <v>0</v>
      </c>
      <c r="AD5" s="275">
        <v>-8.3236493653024116E-2</v>
      </c>
      <c r="AE5" s="275">
        <v>0.2486342860518429</v>
      </c>
      <c r="AF5" s="275">
        <v>-0.4151072733578911</v>
      </c>
    </row>
    <row r="6" spans="1:32">
      <c r="A6" s="276"/>
      <c r="B6" s="276"/>
      <c r="C6" s="276"/>
      <c r="D6" s="276"/>
      <c r="E6" s="276"/>
      <c r="F6" s="276"/>
      <c r="G6" s="276"/>
      <c r="H6" s="276"/>
      <c r="I6" s="276"/>
      <c r="J6" s="276"/>
      <c r="K6" s="276"/>
      <c r="L6" s="276"/>
      <c r="M6" s="276"/>
      <c r="N6" s="276"/>
      <c r="O6" s="276"/>
      <c r="P6" s="276"/>
      <c r="Q6" s="276"/>
      <c r="S6" s="269">
        <v>1</v>
      </c>
      <c r="T6" s="275">
        <v>0.47469618936655456</v>
      </c>
      <c r="U6" s="275">
        <v>0.76596006577767473</v>
      </c>
      <c r="V6" s="275">
        <v>0.18343231295543438</v>
      </c>
      <c r="W6" s="268"/>
      <c r="X6" s="269">
        <v>1</v>
      </c>
      <c r="Y6" s="275">
        <v>0.39639679973049752</v>
      </c>
      <c r="Z6" s="275">
        <v>0.78871704992354585</v>
      </c>
      <c r="AA6" s="275">
        <v>4.0765495374492366E-3</v>
      </c>
      <c r="AB6" s="268"/>
      <c r="AC6" s="269">
        <v>1</v>
      </c>
      <c r="AD6" s="275">
        <v>2.2742808555505714E-2</v>
      </c>
      <c r="AE6" s="275">
        <v>0.22495937542214656</v>
      </c>
      <c r="AF6" s="275">
        <v>-0.1794737583111351</v>
      </c>
    </row>
    <row r="7" spans="1:32">
      <c r="A7" s="276"/>
      <c r="B7" s="276"/>
      <c r="C7" s="276"/>
      <c r="D7" s="276"/>
      <c r="E7" s="276"/>
      <c r="F7" s="276"/>
      <c r="G7" s="276"/>
      <c r="H7" s="276"/>
      <c r="I7" s="276"/>
      <c r="J7" s="276"/>
      <c r="K7" s="276"/>
      <c r="L7" s="276"/>
      <c r="M7" s="276"/>
      <c r="N7" s="276"/>
      <c r="O7" s="276"/>
      <c r="P7" s="276"/>
      <c r="Q7" s="276"/>
      <c r="S7" s="269">
        <v>2</v>
      </c>
      <c r="T7" s="275">
        <v>0.23673941137019824</v>
      </c>
      <c r="U7" s="275">
        <v>0.47597666212474921</v>
      </c>
      <c r="V7" s="275">
        <v>-2.4978393843526903E-3</v>
      </c>
      <c r="W7" s="268"/>
      <c r="X7" s="269">
        <v>2</v>
      </c>
      <c r="Y7" s="275">
        <v>8.7029412758586291E-2</v>
      </c>
      <c r="Z7" s="275">
        <v>0.60022538266762637</v>
      </c>
      <c r="AA7" s="275">
        <v>-0.42616655715045376</v>
      </c>
      <c r="AB7" s="268"/>
      <c r="AC7" s="269">
        <v>2</v>
      </c>
      <c r="AD7" s="275">
        <v>-2.3948728839547639E-2</v>
      </c>
      <c r="AE7" s="275">
        <v>0.2235739321181042</v>
      </c>
      <c r="AF7" s="275">
        <v>-0.27147138979719948</v>
      </c>
    </row>
    <row r="8" spans="1:32">
      <c r="A8" s="276"/>
      <c r="B8" s="276"/>
      <c r="C8" s="276"/>
      <c r="D8" s="276"/>
      <c r="E8" s="276"/>
      <c r="F8" s="276"/>
      <c r="G8" s="276"/>
      <c r="H8" s="276"/>
      <c r="I8" s="276"/>
      <c r="J8" s="276"/>
      <c r="K8" s="276"/>
      <c r="L8" s="276"/>
      <c r="M8" s="276"/>
      <c r="N8" s="276"/>
      <c r="O8" s="276"/>
      <c r="P8" s="276"/>
      <c r="Q8" s="276"/>
      <c r="S8" s="269">
        <v>3</v>
      </c>
      <c r="T8" s="275">
        <v>1.4068966359297956E-2</v>
      </c>
      <c r="U8" s="275">
        <v>0.15404279921287531</v>
      </c>
      <c r="V8" s="275">
        <v>-0.12590486649427937</v>
      </c>
      <c r="W8" s="268"/>
      <c r="X8" s="269">
        <v>3</v>
      </c>
      <c r="Y8" s="275">
        <v>8.6274149743569603E-2</v>
      </c>
      <c r="Z8" s="275">
        <v>0.34460040100705613</v>
      </c>
      <c r="AA8" s="275">
        <v>-0.1720521015199169</v>
      </c>
      <c r="AB8" s="268"/>
      <c r="AC8" s="269">
        <v>3</v>
      </c>
      <c r="AD8" s="275">
        <v>-4.3740494570292041E-2</v>
      </c>
      <c r="AE8" s="275">
        <v>0.10316610353713181</v>
      </c>
      <c r="AF8" s="275">
        <v>-0.1906470926777159</v>
      </c>
    </row>
    <row r="9" spans="1:32">
      <c r="A9" s="276"/>
      <c r="B9" s="276"/>
      <c r="C9" s="276"/>
      <c r="D9" s="276"/>
      <c r="E9" s="276"/>
      <c r="F9" s="276"/>
      <c r="G9" s="276"/>
      <c r="H9" s="276"/>
      <c r="I9" s="276"/>
      <c r="J9" s="276"/>
      <c r="K9" s="276"/>
      <c r="L9" s="276"/>
      <c r="M9" s="276"/>
      <c r="N9" s="276"/>
      <c r="O9" s="276"/>
      <c r="P9" s="276"/>
      <c r="Q9" s="276"/>
      <c r="S9" s="269">
        <v>4</v>
      </c>
      <c r="T9" s="275">
        <v>-0.1002826633276523</v>
      </c>
      <c r="U9" s="275">
        <v>9.9117187525984571E-2</v>
      </c>
      <c r="V9" s="275">
        <v>-0.29968251418128916</v>
      </c>
      <c r="W9" s="268"/>
      <c r="X9" s="269">
        <v>4</v>
      </c>
      <c r="Y9" s="275">
        <v>-2.9330827177266067E-2</v>
      </c>
      <c r="Z9" s="275">
        <v>0.48190849261547342</v>
      </c>
      <c r="AA9" s="275">
        <v>-0.5405701469700056</v>
      </c>
      <c r="AB9" s="268"/>
      <c r="AC9" s="269">
        <v>4</v>
      </c>
      <c r="AD9" s="275">
        <v>-0.18665038690138985</v>
      </c>
      <c r="AE9" s="275">
        <v>0.16746883016293473</v>
      </c>
      <c r="AF9" s="275">
        <v>-0.54076960396571438</v>
      </c>
    </row>
    <row r="10" spans="1:32">
      <c r="A10" s="276"/>
      <c r="B10" s="276"/>
      <c r="C10" s="276"/>
      <c r="D10" s="276"/>
      <c r="E10" s="276"/>
      <c r="F10" s="276"/>
      <c r="G10" s="276"/>
      <c r="H10" s="276"/>
      <c r="I10" s="276"/>
      <c r="J10" s="276"/>
      <c r="K10" s="276"/>
      <c r="L10" s="276"/>
      <c r="M10" s="276"/>
      <c r="N10" s="276"/>
      <c r="O10" s="276"/>
      <c r="P10" s="276"/>
      <c r="Q10" s="276"/>
      <c r="S10" s="269">
        <v>5</v>
      </c>
      <c r="T10" s="275">
        <v>-5.3561734376954738E-2</v>
      </c>
      <c r="U10" s="275">
        <v>0.11309664096931341</v>
      </c>
      <c r="V10" s="275">
        <v>-0.2202201097232229</v>
      </c>
      <c r="W10" s="268"/>
      <c r="X10" s="269">
        <v>5</v>
      </c>
      <c r="Y10" s="275">
        <v>-3.8247139531938291E-2</v>
      </c>
      <c r="Z10" s="275">
        <v>0.36678634683921263</v>
      </c>
      <c r="AA10" s="275">
        <v>-0.44328062590308925</v>
      </c>
      <c r="AB10" s="268"/>
      <c r="AC10" s="269">
        <v>5</v>
      </c>
      <c r="AD10" s="275">
        <v>8.5690876329726967E-2</v>
      </c>
      <c r="AE10" s="275">
        <v>0.53383520813913088</v>
      </c>
      <c r="AF10" s="275">
        <v>-0.36245345547967689</v>
      </c>
    </row>
    <row r="11" spans="1:32">
      <c r="A11" s="276"/>
      <c r="B11" s="276"/>
      <c r="C11" s="276"/>
      <c r="D11" s="276"/>
      <c r="E11" s="276"/>
      <c r="F11" s="276"/>
      <c r="G11" s="276"/>
      <c r="H11" s="276"/>
      <c r="I11" s="276"/>
      <c r="J11" s="276"/>
      <c r="K11" s="276"/>
      <c r="L11" s="276"/>
      <c r="M11" s="276"/>
      <c r="N11" s="276"/>
      <c r="O11" s="276"/>
      <c r="P11" s="276"/>
      <c r="Q11" s="276"/>
      <c r="S11" s="269">
        <v>6</v>
      </c>
      <c r="T11" s="275">
        <v>4.2823473247681577E-2</v>
      </c>
      <c r="U11" s="275">
        <v>0.22655686740013609</v>
      </c>
      <c r="V11" s="275">
        <v>-0.14090992090477295</v>
      </c>
      <c r="W11" s="268"/>
      <c r="X11" s="269">
        <v>6</v>
      </c>
      <c r="Y11" s="275">
        <v>-3.7721240575060914E-3</v>
      </c>
      <c r="Z11" s="275">
        <v>0.36528697518405756</v>
      </c>
      <c r="AA11" s="275">
        <v>-0.37283122329906976</v>
      </c>
      <c r="AB11" s="268"/>
      <c r="AC11" s="269">
        <v>6</v>
      </c>
      <c r="AD11" s="275">
        <v>0.14718778779864464</v>
      </c>
      <c r="AE11" s="275">
        <v>0.54967899259357578</v>
      </c>
      <c r="AF11" s="275">
        <v>-0.25530341699628645</v>
      </c>
    </row>
    <row r="12" spans="1:32">
      <c r="A12" s="276"/>
      <c r="B12" s="276"/>
      <c r="C12" s="276"/>
      <c r="D12" s="276"/>
      <c r="E12" s="276"/>
      <c r="F12" s="276"/>
      <c r="G12" s="276"/>
      <c r="H12" s="276"/>
      <c r="I12" s="276"/>
      <c r="J12" s="276"/>
      <c r="K12" s="276"/>
      <c r="L12" s="276"/>
      <c r="M12" s="276"/>
      <c r="N12" s="276"/>
      <c r="O12" s="276"/>
      <c r="P12" s="276"/>
      <c r="Q12" s="276"/>
      <c r="S12" s="269">
        <v>7</v>
      </c>
      <c r="T12" s="275">
        <v>6.6506544397914452E-2</v>
      </c>
      <c r="U12" s="275">
        <v>0.23247615164101199</v>
      </c>
      <c r="V12" s="275">
        <v>-9.9463062845183081E-2</v>
      </c>
      <c r="W12" s="268"/>
      <c r="X12" s="269">
        <v>7</v>
      </c>
      <c r="Y12" s="275">
        <v>0.14774425977059699</v>
      </c>
      <c r="Z12" s="275">
        <v>0.37142686582181567</v>
      </c>
      <c r="AA12" s="275">
        <v>-7.5938346280621682E-2</v>
      </c>
      <c r="AB12" s="268"/>
      <c r="AC12" s="269">
        <v>7</v>
      </c>
      <c r="AD12" s="275">
        <v>7.9246338232724645E-2</v>
      </c>
      <c r="AE12" s="275">
        <v>0.33330972669505204</v>
      </c>
      <c r="AF12" s="275">
        <v>-0.17481705022960276</v>
      </c>
    </row>
    <row r="13" spans="1:32">
      <c r="A13" s="276"/>
      <c r="B13" s="276"/>
      <c r="C13" s="276"/>
      <c r="D13" s="276"/>
      <c r="E13" s="276"/>
      <c r="F13" s="276"/>
      <c r="G13" s="276"/>
      <c r="H13" s="276"/>
      <c r="I13" s="276"/>
      <c r="J13" s="276"/>
      <c r="K13" s="276"/>
      <c r="L13" s="276"/>
      <c r="M13" s="276"/>
      <c r="N13" s="276"/>
      <c r="O13" s="276"/>
      <c r="P13" s="276"/>
      <c r="Q13" s="276"/>
      <c r="S13" s="268"/>
      <c r="T13" s="268"/>
      <c r="U13" s="268"/>
      <c r="V13" s="268"/>
      <c r="W13" s="268"/>
      <c r="X13" s="268"/>
      <c r="Y13" s="268"/>
      <c r="Z13" s="268"/>
      <c r="AA13" s="268"/>
      <c r="AB13" s="268"/>
      <c r="AC13" s="268"/>
      <c r="AD13" s="268"/>
      <c r="AE13" s="268"/>
      <c r="AF13" s="268"/>
    </row>
    <row r="14" spans="1:32">
      <c r="A14" s="276"/>
      <c r="B14" s="276"/>
      <c r="C14" s="276"/>
      <c r="D14" s="276"/>
      <c r="E14" s="276"/>
      <c r="F14" s="276"/>
      <c r="G14" s="276"/>
      <c r="H14" s="276"/>
      <c r="I14" s="276"/>
      <c r="J14" s="276"/>
      <c r="K14" s="276"/>
      <c r="L14" s="276"/>
      <c r="M14" s="276"/>
      <c r="N14" s="276"/>
      <c r="O14" s="276"/>
      <c r="P14" s="276"/>
      <c r="Q14" s="276"/>
      <c r="S14" s="268" t="s">
        <v>528</v>
      </c>
      <c r="T14" s="268" t="s">
        <v>529</v>
      </c>
      <c r="U14" s="277" t="s">
        <v>530</v>
      </c>
      <c r="V14" s="268" t="s">
        <v>531</v>
      </c>
      <c r="W14" s="268"/>
      <c r="X14" s="268" t="s">
        <v>528</v>
      </c>
      <c r="Y14" s="268" t="s">
        <v>529</v>
      </c>
      <c r="Z14" s="268" t="s">
        <v>530</v>
      </c>
      <c r="AA14" s="268" t="s">
        <v>531</v>
      </c>
      <c r="AB14" s="268"/>
      <c r="AC14" s="268" t="s">
        <v>528</v>
      </c>
      <c r="AD14" s="268" t="s">
        <v>529</v>
      </c>
      <c r="AE14" s="268" t="s">
        <v>530</v>
      </c>
      <c r="AF14" s="268" t="s">
        <v>531</v>
      </c>
    </row>
    <row r="15" spans="1:32">
      <c r="A15" s="276"/>
      <c r="B15" s="276"/>
      <c r="C15" s="276"/>
      <c r="D15" s="276"/>
      <c r="E15" s="276"/>
      <c r="F15" s="276"/>
      <c r="G15" s="276"/>
      <c r="H15" s="276"/>
      <c r="I15" s="276"/>
      <c r="J15" s="276"/>
      <c r="K15" s="276"/>
      <c r="L15" s="276"/>
      <c r="M15" s="276"/>
      <c r="N15" s="276"/>
      <c r="O15" s="276"/>
      <c r="P15" s="276"/>
      <c r="Q15" s="276"/>
      <c r="S15" s="269">
        <v>-1</v>
      </c>
      <c r="T15" s="275">
        <v>0</v>
      </c>
      <c r="U15" s="275">
        <v>0</v>
      </c>
      <c r="V15" s="275">
        <v>0</v>
      </c>
      <c r="W15" s="268"/>
      <c r="X15" s="269">
        <v>-1</v>
      </c>
      <c r="Y15" s="275">
        <v>0</v>
      </c>
      <c r="Z15" s="275">
        <v>0</v>
      </c>
      <c r="AA15" s="275">
        <v>0</v>
      </c>
      <c r="AB15" s="268"/>
      <c r="AC15" s="269">
        <v>-1</v>
      </c>
      <c r="AD15" s="275">
        <v>0</v>
      </c>
      <c r="AE15" s="275">
        <v>0</v>
      </c>
      <c r="AF15" s="275">
        <v>0</v>
      </c>
    </row>
    <row r="16" spans="1:32">
      <c r="A16" s="276"/>
      <c r="B16" s="276"/>
      <c r="C16" s="276"/>
      <c r="D16" s="276"/>
      <c r="E16" s="276"/>
      <c r="F16" s="276"/>
      <c r="G16" s="276"/>
      <c r="H16" s="276"/>
      <c r="I16" s="276"/>
      <c r="J16" s="276"/>
      <c r="K16" s="276"/>
      <c r="L16" s="276"/>
      <c r="M16" s="276"/>
      <c r="N16" s="276"/>
      <c r="O16" s="276"/>
      <c r="P16" s="276"/>
      <c r="Q16" s="276"/>
      <c r="S16" s="269">
        <v>0</v>
      </c>
      <c r="T16" s="275">
        <v>-0.53007934505064813</v>
      </c>
      <c r="U16" s="275">
        <v>-0.16468308540837395</v>
      </c>
      <c r="V16" s="275">
        <v>-0.89547560469292231</v>
      </c>
      <c r="W16" s="268"/>
      <c r="X16" s="269">
        <v>0</v>
      </c>
      <c r="Y16" s="275">
        <v>-8.9925891046213917E-4</v>
      </c>
      <c r="Z16" s="275">
        <v>3.8628217677460108E-2</v>
      </c>
      <c r="AA16" s="275">
        <v>-4.0426735498384381E-2</v>
      </c>
      <c r="AB16" s="268"/>
      <c r="AC16" s="269">
        <v>0</v>
      </c>
      <c r="AD16" s="275">
        <v>3.1127824362714305E-2</v>
      </c>
      <c r="AE16" s="275">
        <v>0.11107520389478388</v>
      </c>
      <c r="AF16" s="275">
        <v>-4.881955516935528E-2</v>
      </c>
    </row>
    <row r="17" spans="1:32">
      <c r="A17" s="276"/>
      <c r="B17" s="276"/>
      <c r="C17" s="276"/>
      <c r="D17" s="276"/>
      <c r="E17" s="276"/>
      <c r="F17" s="276"/>
      <c r="G17" s="276"/>
      <c r="H17" s="276"/>
      <c r="I17" s="276"/>
      <c r="J17" s="276"/>
      <c r="K17" s="276"/>
      <c r="L17" s="276"/>
      <c r="M17" s="276"/>
      <c r="N17" s="276"/>
      <c r="O17" s="276"/>
      <c r="P17" s="276"/>
      <c r="Q17" s="276"/>
      <c r="S17" s="269">
        <v>1</v>
      </c>
      <c r="T17" s="275">
        <v>-0.60991074790406052</v>
      </c>
      <c r="U17" s="275">
        <v>-8.7089939049694198E-2</v>
      </c>
      <c r="V17" s="275">
        <v>-1.1327315567584268</v>
      </c>
      <c r="W17" s="268"/>
      <c r="X17" s="269">
        <v>1</v>
      </c>
      <c r="Y17" s="275">
        <v>1.3895231969651294E-2</v>
      </c>
      <c r="Z17" s="275">
        <v>3.969324466609786E-2</v>
      </c>
      <c r="AA17" s="275">
        <v>-1.1902780726795271E-2</v>
      </c>
      <c r="AB17" s="268"/>
      <c r="AC17" s="269">
        <v>1</v>
      </c>
      <c r="AD17" s="275">
        <v>-2.6400918883332597E-2</v>
      </c>
      <c r="AE17" s="275">
        <v>0.12987829026830747</v>
      </c>
      <c r="AF17" s="275">
        <v>-0.18268012803497266</v>
      </c>
    </row>
    <row r="18" spans="1:32">
      <c r="A18" s="276"/>
      <c r="B18" s="276"/>
      <c r="C18" s="276"/>
      <c r="D18" s="276"/>
      <c r="E18" s="276"/>
      <c r="F18" s="276"/>
      <c r="G18" s="276"/>
      <c r="H18" s="276"/>
      <c r="I18" s="276"/>
      <c r="J18" s="276"/>
      <c r="K18" s="276"/>
      <c r="L18" s="276"/>
      <c r="M18" s="276"/>
      <c r="N18" s="276"/>
      <c r="O18" s="276"/>
      <c r="P18" s="276"/>
      <c r="Q18" s="276"/>
      <c r="S18" s="269">
        <v>2</v>
      </c>
      <c r="T18" s="275">
        <v>-0.26942858199255526</v>
      </c>
      <c r="U18" s="275">
        <v>0.23039512095393577</v>
      </c>
      <c r="V18" s="275">
        <v>-0.76925228493904629</v>
      </c>
      <c r="W18" s="268"/>
      <c r="X18" s="269">
        <v>2</v>
      </c>
      <c r="Y18" s="275">
        <v>5.1219109613493671E-2</v>
      </c>
      <c r="Z18" s="275">
        <v>0.12686400257502675</v>
      </c>
      <c r="AA18" s="275">
        <v>-2.4425783348039409E-2</v>
      </c>
      <c r="AB18" s="268"/>
      <c r="AC18" s="269">
        <v>2</v>
      </c>
      <c r="AD18" s="275">
        <v>-5.4501704818581354E-2</v>
      </c>
      <c r="AE18" s="275">
        <v>0.11591468083841192</v>
      </c>
      <c r="AF18" s="275">
        <v>-0.22491809047557462</v>
      </c>
    </row>
    <row r="19" spans="1:32">
      <c r="A19" s="276"/>
      <c r="B19" s="276"/>
      <c r="C19" s="276"/>
      <c r="D19" s="276"/>
      <c r="E19" s="276"/>
      <c r="F19" s="276"/>
      <c r="G19" s="276"/>
      <c r="H19" s="276"/>
      <c r="I19" s="276"/>
      <c r="J19" s="276"/>
      <c r="K19" s="276"/>
      <c r="L19" s="276"/>
      <c r="M19" s="276"/>
      <c r="N19" s="276"/>
      <c r="O19" s="276"/>
      <c r="P19" s="276"/>
      <c r="Q19" s="276"/>
      <c r="S19" s="269">
        <v>3</v>
      </c>
      <c r="T19" s="275">
        <v>-0.40392464229966663</v>
      </c>
      <c r="U19" s="275">
        <v>0.19063545079698796</v>
      </c>
      <c r="V19" s="275">
        <v>-0.99848473539632121</v>
      </c>
      <c r="W19" s="268"/>
      <c r="X19" s="269">
        <v>3</v>
      </c>
      <c r="Y19" s="275">
        <v>4.6650524171268411E-3</v>
      </c>
      <c r="Z19" s="275">
        <v>4.090200490040008E-2</v>
      </c>
      <c r="AA19" s="275">
        <v>-3.1571900066146394E-2</v>
      </c>
      <c r="AB19" s="268"/>
      <c r="AC19" s="269">
        <v>3</v>
      </c>
      <c r="AD19" s="275">
        <v>-3.2933180175216237E-2</v>
      </c>
      <c r="AE19" s="275">
        <v>0.12053665254588999</v>
      </c>
      <c r="AF19" s="275">
        <v>-0.18640301289632247</v>
      </c>
    </row>
    <row r="20" spans="1:32">
      <c r="A20" s="276"/>
      <c r="B20" s="276"/>
      <c r="C20" s="276"/>
      <c r="D20" s="276"/>
      <c r="E20" s="276"/>
      <c r="F20" s="276"/>
      <c r="G20" s="276"/>
      <c r="H20" s="276"/>
      <c r="I20" s="276"/>
      <c r="J20" s="276"/>
      <c r="K20" s="276"/>
      <c r="L20" s="276"/>
      <c r="M20" s="276"/>
      <c r="N20" s="276"/>
      <c r="O20" s="276"/>
      <c r="P20" s="276"/>
      <c r="Q20" s="276"/>
      <c r="S20" s="269">
        <v>4</v>
      </c>
      <c r="T20" s="275">
        <v>-0.39918007856521054</v>
      </c>
      <c r="U20" s="275">
        <v>5.6990422949835695E-2</v>
      </c>
      <c r="V20" s="275">
        <v>-0.85535058008025677</v>
      </c>
      <c r="W20" s="268"/>
      <c r="X20" s="269">
        <v>4</v>
      </c>
      <c r="Y20" s="275">
        <v>-1.4881138869098741E-2</v>
      </c>
      <c r="Z20" s="275">
        <v>3.9587815319890834E-2</v>
      </c>
      <c r="AA20" s="275">
        <v>-6.9350093058088313E-2</v>
      </c>
      <c r="AB20" s="268"/>
      <c r="AC20" s="269">
        <v>4</v>
      </c>
      <c r="AD20" s="275">
        <v>5.4691171517274352E-3</v>
      </c>
      <c r="AE20" s="275">
        <v>9.5622501794083228E-2</v>
      </c>
      <c r="AF20" s="275">
        <v>-8.4684267490628365E-2</v>
      </c>
    </row>
    <row r="21" spans="1:32">
      <c r="A21" s="276"/>
      <c r="B21" s="276"/>
      <c r="C21" s="276"/>
      <c r="D21" s="276"/>
      <c r="E21" s="276"/>
      <c r="F21" s="276"/>
      <c r="G21" s="276"/>
      <c r="H21" s="276"/>
      <c r="I21" s="276"/>
      <c r="J21" s="276"/>
      <c r="K21" s="276"/>
      <c r="L21" s="276"/>
      <c r="M21" s="276"/>
      <c r="N21" s="276"/>
      <c r="O21" s="276"/>
      <c r="P21" s="276"/>
      <c r="Q21" s="276"/>
      <c r="S21" s="269">
        <v>5</v>
      </c>
      <c r="T21" s="275">
        <v>5.7148071661680976E-2</v>
      </c>
      <c r="U21" s="275">
        <v>0.48070510963403329</v>
      </c>
      <c r="V21" s="275">
        <v>-0.36640896631067138</v>
      </c>
      <c r="W21" s="268"/>
      <c r="X21" s="269">
        <v>5</v>
      </c>
      <c r="Y21" s="275">
        <v>1.3489452153277275E-2</v>
      </c>
      <c r="Z21" s="275">
        <v>4.6553582929787271E-2</v>
      </c>
      <c r="AA21" s="275">
        <v>-1.9574678623232717E-2</v>
      </c>
      <c r="AB21" s="268"/>
      <c r="AC21" s="269">
        <v>5</v>
      </c>
      <c r="AD21" s="275">
        <v>8.7469365574459113E-2</v>
      </c>
      <c r="AE21" s="275">
        <v>0.12807241566230684</v>
      </c>
      <c r="AF21" s="275">
        <v>4.6866315486611389E-2</v>
      </c>
    </row>
    <row r="22" spans="1:32">
      <c r="A22" s="276"/>
      <c r="B22" s="276"/>
      <c r="C22" s="276"/>
      <c r="D22" s="276"/>
      <c r="E22" s="276"/>
      <c r="F22" s="276"/>
      <c r="G22" s="276"/>
      <c r="H22" s="276"/>
      <c r="I22" s="276"/>
      <c r="J22" s="276"/>
      <c r="K22" s="276"/>
      <c r="L22" s="276"/>
      <c r="M22" s="276"/>
      <c r="N22" s="276"/>
      <c r="O22" s="276"/>
      <c r="P22" s="276"/>
      <c r="Q22" s="276"/>
      <c r="S22" s="269">
        <v>6</v>
      </c>
      <c r="T22" s="275">
        <v>0.10604936283478054</v>
      </c>
      <c r="U22" s="275">
        <v>0.5586743993901846</v>
      </c>
      <c r="V22" s="275">
        <v>-0.34657567372062348</v>
      </c>
      <c r="W22" s="268"/>
      <c r="X22" s="269">
        <v>6</v>
      </c>
      <c r="Y22" s="275">
        <v>5.9715985737759138E-2</v>
      </c>
      <c r="Z22" s="275">
        <v>0.11316794745766028</v>
      </c>
      <c r="AA22" s="275">
        <v>6.2640240178579998E-3</v>
      </c>
      <c r="AB22" s="268"/>
      <c r="AC22" s="269">
        <v>6</v>
      </c>
      <c r="AD22" s="275">
        <v>0.14008819286393409</v>
      </c>
      <c r="AE22" s="275">
        <v>0.2084584267682662</v>
      </c>
      <c r="AF22" s="275">
        <v>7.1717958959601993E-2</v>
      </c>
    </row>
    <row r="23" spans="1:32">
      <c r="A23" s="276"/>
      <c r="B23" s="276"/>
      <c r="C23" s="276"/>
      <c r="D23" s="276"/>
      <c r="E23" s="276"/>
      <c r="F23" s="276"/>
      <c r="G23" s="276"/>
      <c r="H23" s="276"/>
      <c r="I23" s="276"/>
      <c r="J23" s="276"/>
      <c r="K23" s="276"/>
      <c r="L23" s="276"/>
      <c r="M23" s="276"/>
      <c r="N23" s="276"/>
      <c r="O23" s="276"/>
      <c r="P23" s="276"/>
      <c r="Q23" s="276"/>
      <c r="S23" s="269">
        <v>7</v>
      </c>
      <c r="T23" s="275">
        <v>-0.15238281848175364</v>
      </c>
      <c r="U23" s="275">
        <v>0.10157915372458179</v>
      </c>
      <c r="V23" s="275">
        <v>-0.40634479068808904</v>
      </c>
      <c r="W23" s="268"/>
      <c r="X23" s="269">
        <v>7</v>
      </c>
      <c r="Y23" s="275">
        <v>5.8619308428588493E-2</v>
      </c>
      <c r="Z23" s="275">
        <v>9.9954427498424675E-2</v>
      </c>
      <c r="AA23" s="275">
        <v>1.7284189358752304E-2</v>
      </c>
      <c r="AB23" s="268"/>
      <c r="AC23" s="269">
        <v>7</v>
      </c>
      <c r="AD23" s="275">
        <v>0.12406216861299313</v>
      </c>
      <c r="AE23" s="275">
        <v>0.19657916716880361</v>
      </c>
      <c r="AF23" s="275">
        <v>5.1545170057182649E-2</v>
      </c>
    </row>
    <row r="24" spans="1:32">
      <c r="A24" s="276"/>
      <c r="B24" s="276"/>
      <c r="C24" s="276"/>
      <c r="D24" s="276"/>
      <c r="E24" s="276"/>
      <c r="F24" s="276"/>
      <c r="G24" s="276"/>
      <c r="H24" s="276"/>
      <c r="I24" s="276"/>
      <c r="J24" s="276"/>
      <c r="K24" s="276"/>
      <c r="L24" s="276"/>
      <c r="M24" s="276"/>
      <c r="N24" s="276"/>
      <c r="O24" s="276"/>
      <c r="P24" s="276"/>
      <c r="Q24" s="276"/>
    </row>
    <row r="25" spans="1:32">
      <c r="A25" s="276"/>
      <c r="B25" s="276"/>
      <c r="C25" s="276"/>
      <c r="D25" s="276"/>
      <c r="E25" s="276"/>
      <c r="F25" s="276"/>
      <c r="G25" s="276"/>
      <c r="H25" s="276"/>
      <c r="I25" s="276"/>
      <c r="J25" s="276"/>
      <c r="K25" s="276"/>
      <c r="L25" s="276"/>
      <c r="M25" s="276"/>
      <c r="N25" s="276"/>
      <c r="O25" s="276"/>
      <c r="P25" s="276"/>
      <c r="Q25" s="276"/>
    </row>
    <row r="26" spans="1:32">
      <c r="A26" s="276"/>
      <c r="B26" s="276"/>
      <c r="C26" s="276"/>
      <c r="D26" s="276"/>
      <c r="E26" s="276"/>
      <c r="F26" s="276"/>
      <c r="G26" s="276"/>
      <c r="H26" s="276"/>
      <c r="I26" s="276"/>
      <c r="J26" s="276"/>
      <c r="K26" s="276"/>
      <c r="L26" s="276"/>
      <c r="M26" s="276"/>
      <c r="N26" s="276"/>
      <c r="O26" s="276"/>
      <c r="P26" s="276"/>
      <c r="Q26" s="276"/>
    </row>
    <row r="27" spans="1:32">
      <c r="A27" s="276"/>
      <c r="B27" s="276"/>
      <c r="C27" s="276"/>
      <c r="D27" s="276"/>
      <c r="E27" s="276"/>
      <c r="F27" s="276"/>
      <c r="G27" s="276"/>
      <c r="H27" s="276"/>
      <c r="I27" s="276"/>
      <c r="J27" s="276"/>
      <c r="K27" s="276"/>
      <c r="L27" s="276"/>
      <c r="M27" s="276"/>
      <c r="N27" s="276"/>
      <c r="O27" s="276"/>
      <c r="P27" s="276"/>
      <c r="Q27" s="276"/>
    </row>
    <row r="28" spans="1:32">
      <c r="A28" s="276"/>
      <c r="B28" s="276"/>
      <c r="C28" s="276"/>
      <c r="D28" s="276"/>
      <c r="E28" s="276"/>
      <c r="F28" s="276"/>
      <c r="G28" s="276"/>
      <c r="H28" s="276"/>
      <c r="I28" s="276"/>
      <c r="J28" s="276"/>
      <c r="K28" s="276"/>
      <c r="L28" s="276"/>
      <c r="M28" s="276"/>
      <c r="N28" s="276"/>
      <c r="O28" s="276"/>
      <c r="P28" s="276"/>
      <c r="Q28" s="276"/>
    </row>
    <row r="29" spans="1:32">
      <c r="A29" s="276"/>
      <c r="B29" s="276"/>
      <c r="C29" s="276"/>
      <c r="D29" s="276"/>
      <c r="E29" s="276"/>
      <c r="F29" s="276"/>
      <c r="G29" s="276"/>
      <c r="H29" s="276"/>
      <c r="I29" s="276"/>
      <c r="J29" s="276"/>
      <c r="K29" s="276"/>
      <c r="L29" s="276"/>
      <c r="M29" s="276"/>
      <c r="N29" s="276"/>
      <c r="O29" s="276"/>
      <c r="P29" s="276"/>
      <c r="Q29" s="276"/>
    </row>
    <row r="30" spans="1:32">
      <c r="A30" s="276"/>
      <c r="B30" s="276"/>
      <c r="C30" s="276"/>
      <c r="D30" s="276"/>
      <c r="E30" s="276"/>
      <c r="F30" s="276"/>
      <c r="G30" s="276"/>
      <c r="H30" s="276"/>
      <c r="I30" s="276"/>
      <c r="J30" s="276"/>
      <c r="K30" s="276"/>
      <c r="L30" s="276"/>
      <c r="M30" s="276"/>
      <c r="N30" s="276"/>
      <c r="O30" s="276"/>
      <c r="P30" s="276"/>
      <c r="Q30" s="276"/>
    </row>
    <row r="31" spans="1:32">
      <c r="A31" s="276"/>
      <c r="B31" s="276"/>
      <c r="C31" s="276"/>
      <c r="D31" s="276"/>
      <c r="E31" s="276"/>
      <c r="F31" s="276"/>
      <c r="G31" s="276"/>
      <c r="H31" s="276"/>
      <c r="I31" s="276"/>
      <c r="J31" s="276"/>
      <c r="K31" s="276"/>
      <c r="L31" s="276"/>
      <c r="M31" s="276"/>
      <c r="N31" s="276"/>
      <c r="O31" s="276"/>
      <c r="P31" s="276"/>
      <c r="Q31" s="276"/>
    </row>
    <row r="32" spans="1:32">
      <c r="A32" s="276"/>
      <c r="B32" s="276"/>
      <c r="C32" s="276"/>
      <c r="D32" s="276"/>
      <c r="E32" s="276"/>
      <c r="F32" s="276"/>
      <c r="G32" s="276"/>
      <c r="H32" s="276"/>
      <c r="I32" s="276"/>
      <c r="J32" s="276"/>
      <c r="K32" s="276"/>
      <c r="L32" s="276"/>
      <c r="M32" s="276"/>
      <c r="N32" s="276"/>
      <c r="O32" s="276"/>
      <c r="P32" s="276"/>
      <c r="Q32" s="276"/>
    </row>
    <row r="33" spans="1:17">
      <c r="A33" s="276"/>
      <c r="B33" s="276"/>
      <c r="C33" s="276"/>
      <c r="D33" s="276"/>
      <c r="E33" s="276"/>
      <c r="F33" s="276"/>
      <c r="G33" s="276"/>
      <c r="H33" s="276"/>
      <c r="I33" s="276"/>
      <c r="J33" s="276"/>
      <c r="K33" s="276"/>
      <c r="L33" s="276"/>
      <c r="M33" s="276"/>
      <c r="N33" s="276"/>
      <c r="O33" s="276"/>
      <c r="P33" s="276"/>
      <c r="Q33" s="276"/>
    </row>
    <row r="34" spans="1:17">
      <c r="A34" s="276"/>
      <c r="B34" s="276"/>
      <c r="C34" s="276"/>
      <c r="D34" s="276"/>
      <c r="E34" s="276"/>
      <c r="F34" s="276"/>
      <c r="G34" s="276"/>
      <c r="H34" s="276"/>
      <c r="I34" s="276"/>
      <c r="J34" s="276"/>
      <c r="K34" s="276"/>
      <c r="L34" s="276"/>
      <c r="M34" s="276"/>
      <c r="N34" s="276"/>
      <c r="O34" s="276"/>
      <c r="P34" s="276"/>
      <c r="Q34" s="276"/>
    </row>
    <row r="35" spans="1:17">
      <c r="A35" s="276"/>
      <c r="B35" s="276"/>
      <c r="C35" s="276"/>
      <c r="D35" s="276"/>
      <c r="E35" s="276"/>
      <c r="F35" s="276"/>
      <c r="G35" s="276"/>
      <c r="H35" s="276"/>
      <c r="I35" s="276"/>
      <c r="J35" s="276"/>
      <c r="K35" s="276"/>
      <c r="L35" s="276"/>
      <c r="M35" s="276"/>
      <c r="N35" s="276"/>
      <c r="O35" s="276"/>
      <c r="P35" s="276"/>
      <c r="Q35" s="276"/>
    </row>
    <row r="36" spans="1:17">
      <c r="A36" s="276"/>
      <c r="B36" s="276"/>
      <c r="C36" s="276"/>
      <c r="D36" s="276"/>
      <c r="E36" s="276"/>
      <c r="F36" s="276"/>
      <c r="G36" s="276"/>
      <c r="H36" s="276"/>
      <c r="I36" s="276"/>
      <c r="J36" s="276"/>
      <c r="K36" s="276"/>
      <c r="L36" s="276"/>
      <c r="M36" s="276"/>
      <c r="N36" s="276"/>
      <c r="O36" s="276"/>
      <c r="P36" s="276"/>
      <c r="Q36" s="276"/>
    </row>
    <row r="37" spans="1:17">
      <c r="A37" s="276"/>
      <c r="B37" s="276"/>
      <c r="C37" s="276"/>
      <c r="D37" s="276"/>
      <c r="E37" s="276"/>
      <c r="F37" s="276"/>
      <c r="G37" s="276"/>
      <c r="H37" s="276"/>
      <c r="I37" s="276"/>
      <c r="J37" s="276"/>
      <c r="K37" s="276"/>
      <c r="L37" s="276"/>
      <c r="M37" s="276"/>
      <c r="N37" s="276"/>
      <c r="O37" s="276"/>
      <c r="P37" s="276"/>
      <c r="Q37" s="276"/>
    </row>
    <row r="38" spans="1:17">
      <c r="A38" s="276"/>
      <c r="B38" s="276"/>
      <c r="C38" s="276"/>
      <c r="D38" s="276"/>
      <c r="E38" s="276"/>
      <c r="F38" s="276"/>
      <c r="G38" s="276"/>
      <c r="H38" s="276"/>
      <c r="I38" s="276"/>
      <c r="J38" s="276"/>
      <c r="K38" s="276"/>
      <c r="L38" s="276"/>
      <c r="M38" s="276"/>
      <c r="N38" s="276"/>
      <c r="O38" s="276"/>
      <c r="P38" s="276"/>
      <c r="Q38" s="276"/>
    </row>
    <row r="39" spans="1:17">
      <c r="A39" s="276"/>
      <c r="B39" s="276"/>
      <c r="C39" s="276"/>
      <c r="D39" s="276"/>
      <c r="E39" s="276"/>
      <c r="F39" s="276"/>
      <c r="G39" s="276"/>
      <c r="H39" s="276"/>
      <c r="I39" s="276"/>
      <c r="J39" s="276"/>
      <c r="K39" s="276"/>
      <c r="L39" s="276"/>
      <c r="M39" s="276"/>
      <c r="N39" s="276"/>
      <c r="O39" s="276"/>
      <c r="P39" s="276"/>
      <c r="Q39" s="276"/>
    </row>
    <row r="40" spans="1:17">
      <c r="A40" s="276"/>
      <c r="B40" s="276"/>
      <c r="C40" s="276"/>
      <c r="D40" s="276"/>
      <c r="E40" s="276"/>
      <c r="F40" s="276"/>
      <c r="G40" s="276"/>
      <c r="H40" s="276"/>
      <c r="I40" s="276"/>
      <c r="J40" s="276"/>
      <c r="K40" s="276"/>
      <c r="L40" s="276"/>
      <c r="M40" s="276"/>
      <c r="N40" s="276"/>
      <c r="O40" s="276"/>
      <c r="P40" s="276"/>
      <c r="Q40" s="276"/>
    </row>
    <row r="41" spans="1:17">
      <c r="A41" s="276"/>
      <c r="B41" s="276"/>
      <c r="C41" s="276"/>
      <c r="D41" s="276"/>
      <c r="E41" s="276"/>
      <c r="F41" s="276"/>
      <c r="G41" s="276"/>
      <c r="H41" s="276"/>
      <c r="I41" s="276"/>
      <c r="J41" s="276"/>
      <c r="K41" s="276"/>
      <c r="L41" s="276"/>
      <c r="M41" s="276"/>
      <c r="N41" s="276"/>
      <c r="O41" s="276"/>
      <c r="P41" s="276"/>
      <c r="Q41" s="276"/>
    </row>
    <row r="42" spans="1:17">
      <c r="A42" s="276"/>
      <c r="B42" s="276"/>
      <c r="C42" s="276"/>
      <c r="D42" s="276"/>
      <c r="E42" s="276"/>
      <c r="F42" s="276"/>
      <c r="G42" s="276"/>
      <c r="H42" s="276"/>
      <c r="I42" s="276"/>
      <c r="J42" s="276"/>
      <c r="K42" s="276"/>
      <c r="L42" s="276"/>
      <c r="M42" s="276"/>
      <c r="N42" s="276"/>
      <c r="O42" s="276"/>
      <c r="P42" s="276"/>
      <c r="Q42" s="276"/>
    </row>
    <row r="43" spans="1:17">
      <c r="A43" s="276"/>
      <c r="B43" s="276"/>
      <c r="C43" s="276"/>
      <c r="D43" s="276"/>
      <c r="E43" s="276"/>
      <c r="F43" s="276"/>
      <c r="G43" s="276"/>
      <c r="H43" s="276"/>
      <c r="I43" s="276"/>
      <c r="J43" s="276"/>
      <c r="K43" s="276"/>
      <c r="L43" s="276"/>
      <c r="M43" s="276"/>
      <c r="N43" s="276"/>
      <c r="O43" s="276"/>
      <c r="P43" s="276"/>
      <c r="Q43" s="276"/>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DF3C5-289C-4B9C-9CA1-44304B6596AB}">
  <dimension ref="A1:GA644"/>
  <sheetViews>
    <sheetView zoomScaleNormal="100" workbookViewId="0">
      <selection activeCell="B88" sqref="B88:K88"/>
    </sheetView>
  </sheetViews>
  <sheetFormatPr defaultColWidth="9" defaultRowHeight="12.75"/>
  <cols>
    <col min="2" max="2" width="9.7109375" customWidth="1"/>
    <col min="9" max="9" width="15.7109375" style="165" customWidth="1"/>
    <col min="10" max="10" width="3.7109375" style="165" customWidth="1"/>
    <col min="11" max="21" width="9" style="165"/>
    <col min="22" max="22" width="14" style="165" customWidth="1"/>
    <col min="23" max="23" width="12" customWidth="1"/>
    <col min="25" max="25" width="9" style="165"/>
    <col min="26" max="26" width="13.7109375" style="165" customWidth="1"/>
    <col min="27" max="27" width="18" style="165" customWidth="1"/>
    <col min="28" max="28" width="16" style="165" customWidth="1"/>
    <col min="29" max="29" width="12.28515625" style="165" customWidth="1"/>
    <col min="30" max="30" width="9" style="165"/>
    <col min="31" max="31" width="17.28515625" style="165" customWidth="1"/>
    <col min="36" max="36" width="14.7109375" customWidth="1"/>
    <col min="37" max="37" width="3.28515625" customWidth="1"/>
    <col min="182" max="16384" width="9" style="165"/>
  </cols>
  <sheetData>
    <row r="1" spans="1:36" customFormat="1" ht="13.15" customHeight="1"/>
    <row r="2" spans="1:36" customFormat="1" ht="13.15" customHeight="1">
      <c r="B2" s="278" t="s">
        <v>532</v>
      </c>
    </row>
    <row r="3" spans="1:36" customFormat="1" ht="13.15" customHeight="1">
      <c r="B3" s="279" t="s">
        <v>533</v>
      </c>
    </row>
    <row r="4" spans="1:36" customFormat="1" ht="14.65" customHeight="1">
      <c r="A4" s="165"/>
      <c r="B4" s="165"/>
      <c r="C4" s="165"/>
      <c r="D4" s="165"/>
      <c r="E4" s="165"/>
      <c r="F4" s="165"/>
      <c r="G4" s="165"/>
      <c r="H4" s="165"/>
      <c r="I4" s="165"/>
      <c r="J4" s="165"/>
      <c r="K4" s="165"/>
      <c r="L4" s="165"/>
      <c r="M4" s="165"/>
      <c r="N4" s="165"/>
      <c r="O4" s="165"/>
      <c r="P4" s="165"/>
      <c r="Q4" s="165"/>
      <c r="R4" s="165"/>
      <c r="S4" s="165"/>
      <c r="T4" s="165"/>
      <c r="U4" s="165"/>
      <c r="V4" s="165"/>
    </row>
    <row r="5" spans="1:36" ht="17.100000000000001" customHeight="1">
      <c r="A5" s="165"/>
      <c r="B5" s="165"/>
      <c r="C5" s="165"/>
      <c r="D5" s="165"/>
      <c r="E5" s="165"/>
      <c r="F5" s="165"/>
      <c r="G5" s="165"/>
      <c r="H5" s="165"/>
      <c r="I5" s="280"/>
      <c r="K5" s="605"/>
      <c r="L5" s="605"/>
      <c r="M5" s="605"/>
      <c r="N5" s="605"/>
      <c r="O5" s="605"/>
      <c r="P5" s="605"/>
      <c r="Q5" s="605"/>
      <c r="R5" s="605"/>
      <c r="S5" s="605"/>
      <c r="T5" s="605"/>
      <c r="U5" s="605"/>
      <c r="V5" s="605"/>
      <c r="W5" s="605"/>
      <c r="X5" s="605"/>
      <c r="Y5" s="606" t="s">
        <v>480</v>
      </c>
      <c r="Z5" s="606"/>
      <c r="AA5" s="606"/>
      <c r="AB5" s="606"/>
      <c r="AC5" s="606"/>
      <c r="AD5" s="606"/>
      <c r="AE5" s="606"/>
      <c r="AF5" s="281"/>
      <c r="AG5" s="281"/>
      <c r="AH5" s="281"/>
      <c r="AI5" s="281"/>
      <c r="AJ5" s="281"/>
    </row>
    <row r="6" spans="1:36" ht="52.5" customHeight="1">
      <c r="A6" s="165"/>
      <c r="B6" s="165"/>
      <c r="C6" s="165"/>
      <c r="D6" s="165"/>
      <c r="E6" s="165"/>
      <c r="F6" s="165"/>
      <c r="G6" s="165"/>
      <c r="H6" s="165"/>
      <c r="I6" s="282"/>
      <c r="K6" s="283"/>
      <c r="L6" s="283"/>
      <c r="M6" s="283"/>
      <c r="N6" s="283"/>
      <c r="O6" s="283"/>
      <c r="P6" s="283"/>
      <c r="Q6" s="283"/>
      <c r="R6" s="283"/>
      <c r="S6" s="283"/>
      <c r="T6" s="283"/>
      <c r="U6" s="283"/>
      <c r="V6" s="283"/>
      <c r="W6" s="284"/>
      <c r="X6" s="284"/>
      <c r="Y6" s="267" t="s">
        <v>534</v>
      </c>
      <c r="Z6" s="285" t="s">
        <v>535</v>
      </c>
      <c r="AA6" s="285" t="s">
        <v>536</v>
      </c>
      <c r="AB6" s="285" t="s">
        <v>537</v>
      </c>
      <c r="AC6" s="285" t="s">
        <v>538</v>
      </c>
      <c r="AD6" s="267" t="s">
        <v>539</v>
      </c>
      <c r="AE6" s="267" t="s">
        <v>540</v>
      </c>
      <c r="AF6" s="284"/>
      <c r="AG6" s="284"/>
      <c r="AH6" s="284"/>
      <c r="AI6" s="284"/>
      <c r="AJ6" s="284"/>
    </row>
    <row r="7" spans="1:36" ht="15">
      <c r="A7" s="165"/>
      <c r="B7" s="165"/>
      <c r="C7" s="165"/>
      <c r="D7" s="165"/>
      <c r="E7" s="165"/>
      <c r="F7" s="165"/>
      <c r="G7" s="165"/>
      <c r="H7" s="165"/>
      <c r="I7" s="286"/>
      <c r="K7" s="283"/>
      <c r="L7" s="283"/>
      <c r="M7" s="283"/>
      <c r="N7" s="283"/>
      <c r="O7" s="283"/>
      <c r="P7" s="283"/>
      <c r="Q7" s="283"/>
      <c r="R7" s="283"/>
      <c r="S7" s="283"/>
      <c r="T7" s="283"/>
      <c r="U7" s="283"/>
      <c r="V7" s="283"/>
      <c r="W7" s="284"/>
      <c r="X7" s="284"/>
      <c r="Y7" s="268" t="s">
        <v>484</v>
      </c>
      <c r="Z7" s="287">
        <f>0.0582907091959205*100</f>
        <v>5.8290709195920503</v>
      </c>
      <c r="AA7" s="287">
        <f>0.0177364102597495*100</f>
        <v>1.77364102597495</v>
      </c>
      <c r="AB7" s="287">
        <f>0.00682245306202008*100</f>
        <v>0.68224530620200796</v>
      </c>
      <c r="AC7" s="287">
        <f>0.0228382977208209*100</f>
        <v>2.2838297720820901</v>
      </c>
      <c r="AD7" s="287">
        <f>0.105687870238511*100</f>
        <v>10.568787023851101</v>
      </c>
      <c r="AE7" s="287">
        <f>0.092*100</f>
        <v>9.1999999999999993</v>
      </c>
      <c r="AF7" s="284"/>
      <c r="AG7" s="284"/>
      <c r="AH7" s="284"/>
      <c r="AI7" s="284"/>
      <c r="AJ7" s="284"/>
    </row>
    <row r="8" spans="1:36" ht="15">
      <c r="A8" s="165"/>
      <c r="B8" s="165"/>
      <c r="C8" s="165"/>
      <c r="D8" s="165"/>
      <c r="E8" s="165"/>
      <c r="F8" s="165"/>
      <c r="G8" s="165"/>
      <c r="H8" s="165"/>
      <c r="I8" s="286"/>
      <c r="K8" s="283"/>
      <c r="L8" s="283"/>
      <c r="M8" s="283"/>
      <c r="N8" s="283"/>
      <c r="O8" s="283"/>
      <c r="P8" s="283"/>
      <c r="Q8" s="283"/>
      <c r="R8" s="283"/>
      <c r="S8" s="283"/>
      <c r="T8" s="283"/>
      <c r="U8" s="283"/>
      <c r="V8" s="283"/>
      <c r="W8" s="284"/>
      <c r="X8" s="284"/>
      <c r="Y8" s="268">
        <v>2</v>
      </c>
      <c r="Z8" s="287">
        <f>0.0530154046790699*100</f>
        <v>5.3015404679069897</v>
      </c>
      <c r="AA8" s="287">
        <f>0.0173116659498303*100</f>
        <v>1.7311665949830302</v>
      </c>
      <c r="AB8" s="287">
        <f>0.00744456418367276*100</f>
        <v>0.74445641836727605</v>
      </c>
      <c r="AC8" s="287">
        <f>0.0235256908656412*100</f>
        <v>2.3525690865641198</v>
      </c>
      <c r="AD8" s="287">
        <f>0.101297325678214*100</f>
        <v>10.129732567821401</v>
      </c>
      <c r="AE8" s="287">
        <f>0.092*100</f>
        <v>9.1999999999999993</v>
      </c>
      <c r="AF8" s="284"/>
      <c r="AG8" s="284"/>
      <c r="AH8" s="284"/>
      <c r="AI8" s="284"/>
      <c r="AJ8" s="284"/>
    </row>
    <row r="9" spans="1:36" ht="15">
      <c r="A9" s="165"/>
      <c r="B9" s="165"/>
      <c r="C9" s="165"/>
      <c r="D9" s="165"/>
      <c r="E9" s="165"/>
      <c r="F9" s="165"/>
      <c r="G9" s="165"/>
      <c r="H9" s="165"/>
      <c r="I9" s="286"/>
      <c r="K9" s="283"/>
      <c r="L9" s="283"/>
      <c r="M9" s="283"/>
      <c r="N9" s="283"/>
      <c r="O9" s="283"/>
      <c r="P9" s="283"/>
      <c r="Q9" s="283"/>
      <c r="R9" s="283"/>
      <c r="S9" s="283"/>
      <c r="T9" s="283"/>
      <c r="U9" s="283"/>
      <c r="V9" s="283"/>
      <c r="W9" s="284"/>
      <c r="X9" s="284"/>
      <c r="Y9" s="268">
        <v>3</v>
      </c>
      <c r="Z9" s="287">
        <f>0.0452319294926094*100</f>
        <v>4.52319294926094</v>
      </c>
      <c r="AA9" s="287">
        <f>0.0173630593400993*100</f>
        <v>1.7363059340099301</v>
      </c>
      <c r="AB9" s="287">
        <f>0.00870690341612768*100</f>
        <v>0.87069034161276793</v>
      </c>
      <c r="AC9" s="287">
        <f>0.025610921409359*100</f>
        <v>2.5610921409358998</v>
      </c>
      <c r="AD9" s="287">
        <f>0.0969128136581954*100</f>
        <v>9.69128136581954</v>
      </c>
      <c r="AE9" s="287">
        <f>0.092*100</f>
        <v>9.1999999999999993</v>
      </c>
      <c r="AF9" s="284"/>
      <c r="AG9" s="284"/>
      <c r="AH9" s="284"/>
      <c r="AI9" s="284"/>
      <c r="AJ9" s="284"/>
    </row>
    <row r="10" spans="1:36" ht="15">
      <c r="A10" s="165"/>
      <c r="B10" s="165"/>
      <c r="C10" s="165"/>
      <c r="D10" s="165"/>
      <c r="E10" s="165"/>
      <c r="F10" s="165"/>
      <c r="G10" s="165"/>
      <c r="H10" s="165"/>
      <c r="I10" s="286"/>
      <c r="K10" s="283"/>
      <c r="L10" s="283"/>
      <c r="M10" s="283"/>
      <c r="N10" s="283"/>
      <c r="O10" s="283"/>
      <c r="P10" s="283"/>
      <c r="Q10" s="283"/>
      <c r="R10" s="283"/>
      <c r="S10" s="283"/>
      <c r="T10" s="283"/>
      <c r="U10" s="283"/>
      <c r="V10" s="283"/>
      <c r="W10" s="284"/>
      <c r="X10" s="284"/>
      <c r="Y10" s="268">
        <v>4</v>
      </c>
      <c r="Z10" s="287">
        <f>0.0369762694173422*100</f>
        <v>3.69762694173422</v>
      </c>
      <c r="AA10" s="287">
        <f>0.0175015735473273*100</f>
        <v>1.75015735473273</v>
      </c>
      <c r="AB10" s="287">
        <f>0.00873305445360961*100</f>
        <v>0.873305445360961</v>
      </c>
      <c r="AC10" s="287">
        <f>0.0275493589705549*100</f>
        <v>2.75493589705549</v>
      </c>
      <c r="AD10" s="287">
        <f>0.090760256388834*100</f>
        <v>9.0760256388834009</v>
      </c>
      <c r="AE10" s="287">
        <f>0.092*100</f>
        <v>9.1999999999999993</v>
      </c>
      <c r="AF10" s="284"/>
      <c r="AG10" s="284"/>
      <c r="AH10" s="284"/>
      <c r="AI10" s="284"/>
      <c r="AJ10" s="284"/>
    </row>
    <row r="11" spans="1:36" ht="15.75" thickBot="1">
      <c r="A11" s="165"/>
      <c r="B11" s="165"/>
      <c r="C11" s="165"/>
      <c r="D11" s="165"/>
      <c r="E11" s="165"/>
      <c r="F11" s="165"/>
      <c r="G11" s="165"/>
      <c r="H11" s="165"/>
      <c r="I11" s="286"/>
      <c r="K11" s="283"/>
      <c r="L11" s="283"/>
      <c r="M11" s="283"/>
      <c r="N11" s="283"/>
      <c r="O11" s="283"/>
      <c r="P11" s="283"/>
      <c r="Q11" s="283"/>
      <c r="R11" s="283"/>
      <c r="S11" s="283"/>
      <c r="T11" s="283"/>
      <c r="U11" s="283"/>
      <c r="V11" s="283"/>
      <c r="W11" s="284"/>
      <c r="X11" s="284"/>
      <c r="Y11" s="288" t="s">
        <v>487</v>
      </c>
      <c r="Z11" s="289">
        <f>0.0201645808365723*100</f>
        <v>2.0164580836572297</v>
      </c>
      <c r="AA11" s="289">
        <f>0.0173162999803231*100</f>
        <v>1.73162999803231</v>
      </c>
      <c r="AB11" s="289">
        <f>0.00891909424021778*100</f>
        <v>0.89190942402177809</v>
      </c>
      <c r="AC11" s="289">
        <f>0.0325792573120105*100</f>
        <v>3.2579257312010501</v>
      </c>
      <c r="AD11" s="289">
        <f>0.0789792323691237*100</f>
        <v>7.8979232369123702</v>
      </c>
      <c r="AE11" s="289">
        <f>0.092*100</f>
        <v>9.1999999999999993</v>
      </c>
      <c r="AF11" s="284"/>
      <c r="AG11" s="284"/>
      <c r="AH11" s="284"/>
      <c r="AI11" s="284"/>
      <c r="AJ11" s="284"/>
    </row>
    <row r="12" spans="1:36" ht="21" customHeight="1" thickTop="1">
      <c r="A12" s="165"/>
      <c r="B12" s="165"/>
      <c r="C12" s="165"/>
      <c r="D12" s="165"/>
      <c r="E12" s="165"/>
      <c r="F12" s="165"/>
      <c r="G12" s="165"/>
      <c r="H12" s="165"/>
      <c r="I12" s="280"/>
      <c r="K12" s="283"/>
      <c r="L12" s="283"/>
      <c r="M12" s="283"/>
      <c r="N12" s="283"/>
      <c r="O12" s="283"/>
      <c r="P12" s="283"/>
      <c r="Q12" s="283"/>
      <c r="R12" s="283"/>
      <c r="S12" s="283"/>
      <c r="T12" s="283"/>
      <c r="U12" s="283"/>
      <c r="V12" s="283"/>
      <c r="W12" s="284"/>
      <c r="X12" s="284"/>
      <c r="Y12" s="604" t="s">
        <v>120</v>
      </c>
      <c r="Z12" s="604"/>
      <c r="AA12" s="604"/>
      <c r="AB12" s="604"/>
      <c r="AC12" s="604"/>
      <c r="AD12" s="604"/>
      <c r="AE12" s="604"/>
      <c r="AF12" s="284"/>
      <c r="AG12" s="284"/>
      <c r="AH12" s="284"/>
      <c r="AI12" s="284"/>
      <c r="AJ12" s="284"/>
    </row>
    <row r="13" spans="1:36" ht="72.75" customHeight="1">
      <c r="A13" s="165"/>
      <c r="B13" s="165"/>
      <c r="C13" s="165"/>
      <c r="D13" s="165"/>
      <c r="E13" s="165"/>
      <c r="F13" s="165"/>
      <c r="G13" s="165"/>
      <c r="H13" s="165"/>
      <c r="I13" s="290"/>
      <c r="K13" s="283"/>
      <c r="L13" s="283"/>
      <c r="M13" s="283"/>
      <c r="N13" s="283"/>
      <c r="O13" s="283"/>
      <c r="P13" s="283"/>
      <c r="Q13" s="283"/>
      <c r="R13" s="283"/>
      <c r="S13" s="283"/>
      <c r="T13" s="283"/>
      <c r="U13" s="283"/>
      <c r="V13" s="283"/>
      <c r="W13" s="284"/>
      <c r="X13" s="284"/>
      <c r="Y13" s="291" t="s">
        <v>534</v>
      </c>
      <c r="Z13" s="291" t="s">
        <v>535</v>
      </c>
      <c r="AA13" s="291" t="s">
        <v>536</v>
      </c>
      <c r="AB13" s="291" t="s">
        <v>537</v>
      </c>
      <c r="AC13" s="291" t="s">
        <v>538</v>
      </c>
      <c r="AD13" s="291" t="s">
        <v>539</v>
      </c>
      <c r="AE13" s="291" t="s">
        <v>540</v>
      </c>
      <c r="AF13" s="284"/>
      <c r="AG13" s="284"/>
      <c r="AH13" s="284"/>
      <c r="AI13" s="284"/>
      <c r="AJ13" s="284"/>
    </row>
    <row r="14" spans="1:36" ht="18" customHeight="1">
      <c r="A14" s="165"/>
      <c r="B14" s="165"/>
      <c r="C14" s="165"/>
      <c r="D14" s="165"/>
      <c r="E14" s="165"/>
      <c r="F14" s="165"/>
      <c r="G14" s="165"/>
      <c r="H14" s="165"/>
      <c r="I14" s="286"/>
      <c r="K14" s="283"/>
      <c r="L14" s="283"/>
      <c r="M14" s="283"/>
      <c r="N14" s="283"/>
      <c r="O14" s="283"/>
      <c r="P14" s="283"/>
      <c r="Q14" s="283"/>
      <c r="R14" s="283"/>
      <c r="S14" s="283"/>
      <c r="T14" s="283"/>
      <c r="U14" s="283"/>
      <c r="V14" s="283"/>
      <c r="W14" s="284"/>
      <c r="X14" s="284"/>
      <c r="Y14" s="268" t="s">
        <v>484</v>
      </c>
      <c r="Z14" s="287">
        <f>0.0584273298046168*100</f>
        <v>5.8427329804616797</v>
      </c>
      <c r="AA14" s="287">
        <f>0.00346602196463655*100</f>
        <v>0.34660219646365498</v>
      </c>
      <c r="AB14" s="287">
        <f>0.00853385267901331*100</f>
        <v>0.85338526790133107</v>
      </c>
      <c r="AC14" s="287">
        <f>0.0262977569117083*100</f>
        <v>2.6297756911708303</v>
      </c>
      <c r="AD14" s="287">
        <f>0.096724961359975*100</f>
        <v>9.6724961359975001</v>
      </c>
      <c r="AE14" s="287">
        <f>0.082*100</f>
        <v>8.2000000000000011</v>
      </c>
      <c r="AF14" s="284"/>
      <c r="AG14" s="284"/>
      <c r="AH14" s="284"/>
      <c r="AI14" s="284"/>
      <c r="AJ14" s="284"/>
    </row>
    <row r="15" spans="1:36" ht="26.65" customHeight="1">
      <c r="A15" s="165"/>
      <c r="B15" s="165"/>
      <c r="C15" s="165"/>
      <c r="D15" s="165"/>
      <c r="E15" s="165"/>
      <c r="F15" s="165"/>
      <c r="G15" s="165"/>
      <c r="H15" s="165"/>
      <c r="I15" s="286"/>
      <c r="K15" s="607"/>
      <c r="L15" s="607"/>
      <c r="M15" s="607"/>
      <c r="N15" s="607"/>
      <c r="O15" s="607"/>
      <c r="P15" s="607"/>
      <c r="Q15" s="607"/>
      <c r="R15" s="607"/>
      <c r="S15" s="607"/>
      <c r="T15" s="607"/>
      <c r="U15" s="607"/>
      <c r="V15" s="607"/>
      <c r="W15" s="607"/>
      <c r="X15" s="607"/>
      <c r="Y15" s="268">
        <v>2</v>
      </c>
      <c r="Z15" s="287">
        <f>0.0500691863588935*100</f>
        <v>5.0069186358893498</v>
      </c>
      <c r="AA15" s="287">
        <f>0.00384548296168199*100</f>
        <v>0.38454829616819902</v>
      </c>
      <c r="AB15" s="287">
        <f>0.0101584524747807*100</f>
        <v>1.0158452474780699</v>
      </c>
      <c r="AC15" s="287">
        <f>0.0271350275984526*100</f>
        <v>2.7135027598452597</v>
      </c>
      <c r="AD15" s="287">
        <f>0.0912081493938088*100</f>
        <v>9.1208149393808799</v>
      </c>
      <c r="AE15" s="287">
        <f>0.082*100</f>
        <v>8.2000000000000011</v>
      </c>
      <c r="AF15" s="292"/>
      <c r="AG15" s="292"/>
      <c r="AH15" s="292"/>
      <c r="AI15" s="292"/>
      <c r="AJ15" s="292"/>
    </row>
    <row r="16" spans="1:36" ht="15">
      <c r="A16" s="165"/>
      <c r="B16" s="165"/>
      <c r="C16" s="165"/>
      <c r="D16" s="165"/>
      <c r="E16" s="165"/>
      <c r="F16" s="165"/>
      <c r="G16" s="165"/>
      <c r="H16" s="165"/>
      <c r="I16" s="286"/>
      <c r="K16" s="283"/>
      <c r="L16" s="283"/>
      <c r="M16" s="283"/>
      <c r="N16" s="283"/>
      <c r="O16" s="283"/>
      <c r="P16" s="283"/>
      <c r="Q16" s="283"/>
      <c r="R16" s="283"/>
      <c r="S16" s="283"/>
      <c r="T16" s="283"/>
      <c r="U16" s="283"/>
      <c r="V16" s="283"/>
      <c r="W16" s="284"/>
      <c r="X16" s="284"/>
      <c r="Y16" s="268">
        <v>3</v>
      </c>
      <c r="Z16" s="287">
        <f>0.0440940185534059*100</f>
        <v>4.4094018553405903</v>
      </c>
      <c r="AA16" s="287">
        <f>0.00377441935886432*100</f>
        <v>0.37744193588643199</v>
      </c>
      <c r="AB16" s="287">
        <f>0.011214158813419*100</f>
        <v>1.1214158813419002</v>
      </c>
      <c r="AC16" s="287">
        <f>0.0285591470081273*100</f>
        <v>2.8559147008127299</v>
      </c>
      <c r="AD16" s="287">
        <f>0.0876417437338165*100</f>
        <v>8.7641743733816497</v>
      </c>
      <c r="AE16" s="287">
        <f>0.082*100</f>
        <v>8.2000000000000011</v>
      </c>
      <c r="AF16" s="284"/>
      <c r="AG16" s="284"/>
      <c r="AH16" s="284"/>
      <c r="AI16" s="284"/>
      <c r="AJ16" s="284"/>
    </row>
    <row r="17" spans="1:183" ht="15">
      <c r="A17" s="165"/>
      <c r="B17" s="165"/>
      <c r="C17" s="165"/>
      <c r="D17" s="165"/>
      <c r="E17" s="165"/>
      <c r="F17" s="165"/>
      <c r="G17" s="165"/>
      <c r="H17" s="165"/>
      <c r="I17" s="286"/>
      <c r="L17" s="283"/>
      <c r="M17" s="283"/>
      <c r="N17" s="283"/>
      <c r="O17" s="283"/>
      <c r="P17" s="283"/>
      <c r="Q17" s="283"/>
      <c r="R17" s="283"/>
      <c r="S17" s="283"/>
      <c r="T17" s="283"/>
      <c r="U17" s="283"/>
      <c r="V17" s="283"/>
      <c r="W17" s="284"/>
      <c r="X17" s="284"/>
      <c r="Y17" s="268">
        <v>4</v>
      </c>
      <c r="Z17" s="287">
        <f>0.0359768772877131*100</f>
        <v>3.59768772877131</v>
      </c>
      <c r="AA17" s="287">
        <f>0.00372034416906353*100</f>
        <v>0.37203441690635303</v>
      </c>
      <c r="AB17" s="287">
        <f>0.0121854585664094*100</f>
        <v>1.21854585664094</v>
      </c>
      <c r="AC17" s="287">
        <f>0.03006684825482*100</f>
        <v>3.006684825482</v>
      </c>
      <c r="AD17" s="287">
        <f>0.0819495282780061*100</f>
        <v>8.1949528278006092</v>
      </c>
      <c r="AE17" s="287">
        <f>0.082*100</f>
        <v>8.2000000000000011</v>
      </c>
      <c r="AF17" s="284"/>
      <c r="AG17" s="284"/>
      <c r="AH17" s="284"/>
      <c r="AI17" s="284"/>
      <c r="AJ17" s="284"/>
    </row>
    <row r="18" spans="1:183" ht="15.75" thickBot="1">
      <c r="A18" s="165"/>
      <c r="B18" s="165"/>
      <c r="C18" s="165"/>
      <c r="D18" s="165"/>
      <c r="E18" s="165"/>
      <c r="F18" s="165"/>
      <c r="G18" s="165"/>
      <c r="H18" s="165"/>
      <c r="I18" s="286"/>
      <c r="K18" s="283"/>
      <c r="L18" s="283"/>
      <c r="M18" s="283"/>
      <c r="N18" s="283"/>
      <c r="O18" s="283"/>
      <c r="P18" s="283"/>
      <c r="Q18" s="283"/>
      <c r="R18" s="283"/>
      <c r="S18" s="283"/>
      <c r="T18" s="283"/>
      <c r="U18" s="283"/>
      <c r="V18" s="283"/>
      <c r="W18" s="284"/>
      <c r="X18" s="284"/>
      <c r="Y18" s="288" t="s">
        <v>487</v>
      </c>
      <c r="Z18" s="289">
        <f>0.020085664432399*100</f>
        <v>2.0085664432399</v>
      </c>
      <c r="AA18" s="289">
        <f>0.00349900042108827*100</f>
        <v>0.34990004210882703</v>
      </c>
      <c r="AB18" s="289">
        <f>0.0131050232070838*100</f>
        <v>1.3105023207083799</v>
      </c>
      <c r="AC18" s="289">
        <f>0.0340245221926905*100</f>
        <v>3.4024522192690498</v>
      </c>
      <c r="AD18" s="289">
        <f>0.0707142102532616*100</f>
        <v>7.0714210253261607</v>
      </c>
      <c r="AE18" s="289">
        <f>0.082*100</f>
        <v>8.2000000000000011</v>
      </c>
      <c r="AF18" s="284"/>
      <c r="AG18" s="284"/>
      <c r="AH18" s="284"/>
      <c r="AI18" s="284"/>
      <c r="AJ18" s="284"/>
    </row>
    <row r="19" spans="1:183" ht="21" customHeight="1" thickTop="1">
      <c r="A19" s="165"/>
      <c r="B19" s="165"/>
      <c r="C19" s="165"/>
      <c r="D19" s="165"/>
      <c r="E19" s="165"/>
      <c r="F19" s="165"/>
      <c r="G19" s="165"/>
      <c r="H19" s="165"/>
      <c r="I19" s="280"/>
      <c r="K19" s="283"/>
      <c r="L19" s="283"/>
      <c r="M19" s="283"/>
      <c r="N19" s="283"/>
      <c r="O19" s="283"/>
      <c r="P19" s="283"/>
      <c r="Q19" s="283"/>
      <c r="R19" s="283"/>
      <c r="S19" s="283"/>
      <c r="T19" s="283"/>
      <c r="U19" s="283"/>
      <c r="V19" s="283"/>
      <c r="W19" s="284"/>
      <c r="X19" s="284"/>
      <c r="Y19" s="604" t="s">
        <v>237</v>
      </c>
      <c r="Z19" s="604"/>
      <c r="AA19" s="604"/>
      <c r="AB19" s="604"/>
      <c r="AC19" s="604"/>
      <c r="AD19" s="604"/>
      <c r="AE19" s="604"/>
      <c r="AF19" s="284"/>
      <c r="AG19" s="284"/>
      <c r="AH19" s="284"/>
      <c r="AI19" s="284"/>
      <c r="AJ19" s="284"/>
    </row>
    <row r="20" spans="1:183" ht="38.25">
      <c r="A20" s="165"/>
      <c r="B20" s="165"/>
      <c r="C20" s="165"/>
      <c r="D20" s="165"/>
      <c r="E20" s="165"/>
      <c r="F20" s="165"/>
      <c r="G20" s="165"/>
      <c r="H20" s="165"/>
      <c r="I20" s="290"/>
      <c r="K20" s="283"/>
      <c r="L20" s="283"/>
      <c r="M20" s="283"/>
      <c r="N20" s="283"/>
      <c r="O20" s="283"/>
      <c r="P20" s="283"/>
      <c r="Q20" s="283"/>
      <c r="R20" s="283"/>
      <c r="S20" s="283"/>
      <c r="T20" s="283"/>
      <c r="U20" s="283"/>
      <c r="V20" s="283"/>
      <c r="W20" s="284"/>
      <c r="X20" s="284"/>
      <c r="Y20" s="291" t="s">
        <v>534</v>
      </c>
      <c r="Z20" s="291" t="s">
        <v>535</v>
      </c>
      <c r="AA20" s="291" t="s">
        <v>536</v>
      </c>
      <c r="AB20" s="291" t="s">
        <v>537</v>
      </c>
      <c r="AC20" s="291" t="s">
        <v>538</v>
      </c>
      <c r="AD20" s="291" t="s">
        <v>539</v>
      </c>
      <c r="AE20" s="291" t="s">
        <v>540</v>
      </c>
      <c r="AF20" s="284"/>
      <c r="AG20" s="284"/>
      <c r="AH20" s="284"/>
      <c r="AI20" s="284"/>
      <c r="AJ20" s="284"/>
    </row>
    <row r="21" spans="1:183" ht="15">
      <c r="A21" s="165"/>
      <c r="B21" s="165"/>
      <c r="C21" s="165"/>
      <c r="D21" s="165"/>
      <c r="E21" s="165"/>
      <c r="F21" s="165"/>
      <c r="G21" s="165"/>
      <c r="H21" s="165"/>
      <c r="I21" s="286"/>
      <c r="K21" s="283"/>
      <c r="L21" s="283"/>
      <c r="M21" s="283"/>
      <c r="N21" s="283"/>
      <c r="O21" s="283"/>
      <c r="P21" s="283"/>
      <c r="Q21" s="283"/>
      <c r="R21" s="283"/>
      <c r="S21" s="283"/>
      <c r="T21" s="283"/>
      <c r="U21" s="283"/>
      <c r="V21" s="283"/>
      <c r="W21" s="284"/>
      <c r="X21" s="284"/>
      <c r="Y21" s="268" t="s">
        <v>484</v>
      </c>
      <c r="Z21" s="287">
        <f>0.0786689042102779*100</f>
        <v>7.8668904210277901</v>
      </c>
      <c r="AA21" s="287">
        <f>0.00354335291813038*100</f>
        <v>0.35433529181303797</v>
      </c>
      <c r="AB21" s="287">
        <f>0.000541853050330286*100</f>
        <v>5.4185305033028597E-2</v>
      </c>
      <c r="AC21" s="287">
        <f>0.0167014392205788*100</f>
        <v>1.67014392205788</v>
      </c>
      <c r="AD21" s="287">
        <f>0.0994555493993174*100</f>
        <v>9.9455549399317409</v>
      </c>
      <c r="AE21" s="287">
        <f>0.0914*100</f>
        <v>9.1399999999999988</v>
      </c>
      <c r="AF21" s="284"/>
      <c r="AG21" s="284"/>
      <c r="AH21" s="284"/>
      <c r="AI21" s="284"/>
      <c r="AJ21" s="284"/>
    </row>
    <row r="22" spans="1:183" ht="15">
      <c r="A22" s="165"/>
      <c r="B22" s="165"/>
      <c r="C22" s="165"/>
      <c r="D22" s="165"/>
      <c r="E22" s="165"/>
      <c r="F22" s="165"/>
      <c r="G22" s="165"/>
      <c r="H22" s="165"/>
      <c r="I22" s="286"/>
      <c r="K22" s="283"/>
      <c r="L22" s="283"/>
      <c r="M22" s="283"/>
      <c r="N22" s="283"/>
      <c r="O22" s="283"/>
      <c r="P22" s="283"/>
      <c r="Q22" s="283"/>
      <c r="R22" s="283"/>
      <c r="S22" s="283"/>
      <c r="T22" s="283"/>
      <c r="U22" s="283"/>
      <c r="V22" s="283"/>
      <c r="W22" s="284"/>
      <c r="X22" s="284"/>
      <c r="Y22" s="268">
        <v>2</v>
      </c>
      <c r="Z22" s="287">
        <f>0.0756937693502149*100</f>
        <v>7.5693769350214906</v>
      </c>
      <c r="AA22" s="287">
        <f>0.00370512954193366*100</f>
        <v>0.370512954193366</v>
      </c>
      <c r="AB22" s="287">
        <f>0.000642805548015397*100</f>
        <v>6.4280554801539699E-2</v>
      </c>
      <c r="AC22" s="287">
        <f>0.0176608875711455*100</f>
        <v>1.7660887571145498</v>
      </c>
      <c r="AD22" s="287">
        <f>0.0977025920113095*100</f>
        <v>9.7702592011309495</v>
      </c>
      <c r="AE22" s="287">
        <f>0.0914*100</f>
        <v>9.1399999999999988</v>
      </c>
      <c r="AF22" s="284"/>
      <c r="AG22" s="284"/>
      <c r="AH22" s="284"/>
      <c r="AI22" s="284"/>
      <c r="AJ22" s="284"/>
    </row>
    <row r="23" spans="1:183" ht="15">
      <c r="A23" s="165"/>
      <c r="B23" s="165"/>
      <c r="C23" s="165"/>
      <c r="D23" s="165"/>
      <c r="E23" s="165"/>
      <c r="F23" s="165"/>
      <c r="G23" s="165"/>
      <c r="H23" s="165"/>
      <c r="I23" s="286"/>
      <c r="K23" s="283"/>
      <c r="L23" s="283"/>
      <c r="M23" s="283"/>
      <c r="N23" s="283"/>
      <c r="O23" s="283"/>
      <c r="P23" s="283"/>
      <c r="Q23" s="283"/>
      <c r="R23" s="283"/>
      <c r="S23" s="283"/>
      <c r="T23" s="283"/>
      <c r="U23" s="283"/>
      <c r="V23" s="283"/>
      <c r="W23" s="284"/>
      <c r="X23" s="284"/>
      <c r="Y23" s="268">
        <v>3</v>
      </c>
      <c r="Z23" s="287">
        <f>0.0717968739684288*100</f>
        <v>7.1796873968428807</v>
      </c>
      <c r="AA23" s="287">
        <f>0.00342229930336647*100</f>
        <v>0.342229930336647</v>
      </c>
      <c r="AB23" s="287">
        <f>0.00075205325707592*100</f>
        <v>7.5205325707592002E-2</v>
      </c>
      <c r="AC23" s="287">
        <f>0.0189564223612563*100</f>
        <v>1.89564223612563</v>
      </c>
      <c r="AD23" s="287">
        <f>0.0949276488901275*100</f>
        <v>9.4927648890127507</v>
      </c>
      <c r="AE23" s="287">
        <f>0.0914*100</f>
        <v>9.1399999999999988</v>
      </c>
      <c r="AF23" s="284"/>
      <c r="AG23" s="284"/>
      <c r="AH23" s="284"/>
      <c r="AI23" s="284"/>
      <c r="AJ23" s="284"/>
    </row>
    <row r="24" spans="1:183" ht="15">
      <c r="A24" s="165"/>
      <c r="B24" s="165"/>
      <c r="C24" s="165"/>
      <c r="D24" s="165"/>
      <c r="E24" s="165"/>
      <c r="F24" s="165"/>
      <c r="G24" s="165"/>
      <c r="H24" s="165"/>
      <c r="I24" s="286"/>
      <c r="K24" s="283"/>
      <c r="L24" s="283"/>
      <c r="M24" s="283"/>
      <c r="N24" s="283"/>
      <c r="O24" s="283"/>
      <c r="P24" s="283"/>
      <c r="Q24" s="283"/>
      <c r="R24" s="283"/>
      <c r="S24" s="283"/>
      <c r="T24" s="283"/>
      <c r="U24" s="283"/>
      <c r="V24" s="283"/>
      <c r="W24" s="284"/>
      <c r="X24" s="284"/>
      <c r="Y24" s="268">
        <v>4</v>
      </c>
      <c r="Z24" s="287">
        <f>0.0631439249025865*100</f>
        <v>6.3143924902586495</v>
      </c>
      <c r="AA24" s="287">
        <f>0.00389116289411108*100</f>
        <v>0.38911628941110799</v>
      </c>
      <c r="AB24" s="287">
        <f>0.00089947486526111*100</f>
        <v>8.9947486526110995E-2</v>
      </c>
      <c r="AC24" s="287">
        <f>0.0208317944322317*100</f>
        <v>2.0831794432231701</v>
      </c>
      <c r="AD24" s="287">
        <f>0.0887663570941905*100</f>
        <v>8.87663570941905</v>
      </c>
      <c r="AE24" s="287">
        <f>0.0914*100</f>
        <v>9.1399999999999988</v>
      </c>
      <c r="AF24" s="284"/>
      <c r="AG24" s="284"/>
      <c r="AH24" s="284"/>
      <c r="AI24" s="284"/>
      <c r="AJ24" s="284"/>
    </row>
    <row r="25" spans="1:183" ht="15.75" thickBot="1">
      <c r="A25" s="165"/>
      <c r="B25" s="165"/>
      <c r="C25" s="165"/>
      <c r="D25" s="165"/>
      <c r="E25" s="165"/>
      <c r="F25" s="165"/>
      <c r="G25" s="165"/>
      <c r="H25" s="165"/>
      <c r="I25" s="286"/>
      <c r="K25" s="283"/>
      <c r="L25" s="283"/>
      <c r="M25" s="283"/>
      <c r="N25" s="283"/>
      <c r="O25" s="283"/>
      <c r="P25" s="283"/>
      <c r="Q25" s="283"/>
      <c r="R25" s="283"/>
      <c r="S25" s="283"/>
      <c r="T25" s="283"/>
      <c r="U25" s="283"/>
      <c r="V25" s="283"/>
      <c r="W25" s="284"/>
      <c r="X25" s="284"/>
      <c r="Y25" s="288" t="s">
        <v>487</v>
      </c>
      <c r="Z25" s="289">
        <f>0.0498780275418382*100</f>
        <v>4.9878027541838197</v>
      </c>
      <c r="AA25" s="289">
        <f>0.00474219790908362*100</f>
        <v>0.47421979090836203</v>
      </c>
      <c r="AB25" s="289">
        <f>0.00138878489923797*100</f>
        <v>0.138878489923797</v>
      </c>
      <c r="AC25" s="289">
        <f>0.0217971699273635*100</f>
        <v>2.17971699273635</v>
      </c>
      <c r="AD25" s="289">
        <f>0.0778061802775233*100</f>
        <v>7.7806180277523298</v>
      </c>
      <c r="AE25" s="289">
        <f>0.0914*100</f>
        <v>9.1399999999999988</v>
      </c>
      <c r="AF25" s="284"/>
      <c r="AG25" s="284"/>
      <c r="AH25" s="284"/>
      <c r="AI25" s="284"/>
      <c r="AJ25" s="284"/>
    </row>
    <row r="26" spans="1:183" ht="21.75" customHeight="1" thickTop="1">
      <c r="A26" s="165"/>
      <c r="B26" s="165"/>
      <c r="C26" s="165"/>
      <c r="D26" s="165"/>
      <c r="E26" s="165"/>
      <c r="F26" s="165"/>
      <c r="G26" s="165"/>
      <c r="H26" s="165"/>
      <c r="I26" s="280"/>
      <c r="K26" s="283"/>
      <c r="L26" s="283"/>
      <c r="M26" s="283"/>
      <c r="N26" s="283"/>
      <c r="O26" s="283"/>
      <c r="P26" s="283"/>
      <c r="Q26" s="283"/>
      <c r="R26" s="283"/>
      <c r="S26" s="283"/>
      <c r="T26" s="283"/>
      <c r="U26" s="283"/>
      <c r="V26" s="283"/>
      <c r="W26" s="284"/>
      <c r="X26" s="284"/>
      <c r="Y26" s="604" t="s">
        <v>126</v>
      </c>
      <c r="Z26" s="604"/>
      <c r="AA26" s="604"/>
      <c r="AB26" s="604"/>
      <c r="AC26" s="604"/>
      <c r="AD26" s="604"/>
      <c r="AE26" s="604"/>
      <c r="AF26" s="284"/>
      <c r="AG26" s="284"/>
      <c r="AH26" s="284"/>
      <c r="AI26" s="284"/>
      <c r="AJ26" s="284"/>
    </row>
    <row r="27" spans="1:183" ht="38.25">
      <c r="A27" s="165"/>
      <c r="B27" s="165"/>
      <c r="C27" s="165"/>
      <c r="D27" s="165"/>
      <c r="E27" s="165"/>
      <c r="F27" s="165"/>
      <c r="G27" s="165"/>
      <c r="H27" s="165"/>
      <c r="I27" s="290"/>
      <c r="K27" s="283"/>
      <c r="L27" s="283"/>
      <c r="M27" s="283"/>
      <c r="N27" s="283"/>
      <c r="O27" s="283"/>
      <c r="P27" s="283"/>
      <c r="Q27" s="283"/>
      <c r="R27" s="283"/>
      <c r="S27" s="283"/>
      <c r="T27" s="283"/>
      <c r="U27" s="283"/>
      <c r="V27" s="283"/>
      <c r="W27" s="284"/>
      <c r="X27" s="284"/>
      <c r="Y27" s="291" t="s">
        <v>534</v>
      </c>
      <c r="Z27" s="291" t="s">
        <v>535</v>
      </c>
      <c r="AA27" s="291" t="s">
        <v>536</v>
      </c>
      <c r="AB27" s="291" t="s">
        <v>537</v>
      </c>
      <c r="AC27" s="291" t="s">
        <v>538</v>
      </c>
      <c r="AD27" s="291" t="s">
        <v>539</v>
      </c>
      <c r="AE27" s="291" t="s">
        <v>540</v>
      </c>
      <c r="AF27" s="284"/>
      <c r="AG27" s="284"/>
      <c r="AH27" s="284"/>
      <c r="AI27" s="284"/>
      <c r="AJ27" s="284"/>
    </row>
    <row r="28" spans="1:183" ht="15">
      <c r="A28" s="165"/>
      <c r="B28" s="165"/>
      <c r="C28" s="165"/>
      <c r="D28" s="165"/>
      <c r="E28" s="165"/>
      <c r="F28" s="165"/>
      <c r="G28" s="165"/>
      <c r="H28" s="165"/>
      <c r="I28" s="286"/>
      <c r="K28" s="283"/>
      <c r="L28" s="283"/>
      <c r="M28" s="283"/>
      <c r="N28" s="283"/>
      <c r="O28" s="283"/>
      <c r="P28" s="283"/>
      <c r="Q28" s="283"/>
      <c r="R28" s="283"/>
      <c r="S28" s="283"/>
      <c r="T28" s="283"/>
      <c r="U28" s="283"/>
      <c r="V28" s="283"/>
      <c r="W28" s="284"/>
      <c r="X28" s="284"/>
      <c r="Y28" s="268" t="s">
        <v>484</v>
      </c>
      <c r="Z28" s="287">
        <f>0.0721218092420903*100</f>
        <v>7.2121809242090302</v>
      </c>
      <c r="AA28" s="287">
        <f>0.004540891367949*100</f>
        <v>0.45408913679490004</v>
      </c>
      <c r="AB28" s="287">
        <f>0.00260099480714018*100</f>
        <v>0.26009948071401801</v>
      </c>
      <c r="AC28" s="287">
        <f>0.0109492135557401*100</f>
        <v>1.09492135557401</v>
      </c>
      <c r="AD28" s="287">
        <f>0.0902129089729196*100</f>
        <v>9.0212908972919603</v>
      </c>
      <c r="AE28" s="287">
        <f>0.0789*100</f>
        <v>7.89</v>
      </c>
      <c r="AF28" s="284"/>
      <c r="AG28" s="284"/>
      <c r="AH28" s="284"/>
      <c r="AI28" s="284"/>
      <c r="AJ28" s="284"/>
    </row>
    <row r="29" spans="1:183" ht="15">
      <c r="A29" s="165"/>
      <c r="B29" s="165"/>
      <c r="C29" s="165"/>
      <c r="D29" s="165"/>
      <c r="E29" s="165"/>
      <c r="F29" s="165"/>
      <c r="G29" s="165"/>
      <c r="H29" s="165"/>
      <c r="I29" s="286"/>
      <c r="K29" s="283"/>
      <c r="L29" s="283"/>
      <c r="M29" s="283"/>
      <c r="N29" s="283"/>
      <c r="O29" s="283"/>
      <c r="P29" s="283"/>
      <c r="Q29" s="283"/>
      <c r="R29" s="283"/>
      <c r="S29" s="283"/>
      <c r="T29" s="283"/>
      <c r="U29" s="283"/>
      <c r="V29" s="283"/>
      <c r="W29" s="284"/>
      <c r="X29" s="284"/>
      <c r="Y29" s="268">
        <v>2</v>
      </c>
      <c r="Z29" s="287">
        <f>0.0621951139188201*100</f>
        <v>6.2195113918820102</v>
      </c>
      <c r="AA29" s="287">
        <f>0.00585154033334072*100</f>
        <v>0.58515403333407201</v>
      </c>
      <c r="AB29" s="287">
        <f>0.0039355135061915*100</f>
        <v>0.39355135061915003</v>
      </c>
      <c r="AC29" s="287">
        <f>0.0111732030270027*100</f>
        <v>1.1173203027002701</v>
      </c>
      <c r="AD29" s="287">
        <f>0.083155370785355*100</f>
        <v>8.3155370785354989</v>
      </c>
      <c r="AE29" s="287">
        <f>0.0789*100</f>
        <v>7.89</v>
      </c>
      <c r="AF29" s="284"/>
      <c r="AG29" s="284"/>
      <c r="AH29" s="284"/>
      <c r="AI29" s="284"/>
      <c r="AJ29" s="284"/>
    </row>
    <row r="30" spans="1:183" customFormat="1">
      <c r="A30" s="165"/>
      <c r="B30" s="165"/>
      <c r="C30" s="165"/>
      <c r="D30" s="165"/>
      <c r="E30" s="165"/>
      <c r="F30" s="165"/>
      <c r="G30" s="165"/>
      <c r="H30" s="165"/>
      <c r="I30" s="286"/>
      <c r="J30" s="165"/>
      <c r="K30" s="165"/>
      <c r="L30" s="165"/>
      <c r="M30" s="165"/>
      <c r="N30" s="165"/>
      <c r="O30" s="165"/>
      <c r="P30" s="165"/>
      <c r="Q30" s="165"/>
      <c r="R30" s="165"/>
      <c r="S30" s="165"/>
      <c r="T30" s="165"/>
      <c r="U30" s="165"/>
      <c r="V30" s="165"/>
      <c r="Y30" s="268">
        <v>3</v>
      </c>
      <c r="Z30" s="287">
        <f>0.0541702978038094*100</f>
        <v>5.4170297803809397</v>
      </c>
      <c r="AA30" s="287">
        <f>0.00697368086071498*100</f>
        <v>0.69736808607149792</v>
      </c>
      <c r="AB30" s="287">
        <f>0.00480381231111974*100</f>
        <v>0.48038123111197406</v>
      </c>
      <c r="AC30" s="287">
        <f>0.0116475741552843*100</f>
        <v>1.1647574155284299</v>
      </c>
      <c r="AD30" s="287">
        <f>0.0775953651309285*100</f>
        <v>7.7595365130928506</v>
      </c>
      <c r="AE30" s="287">
        <f>0.0789*100</f>
        <v>7.89</v>
      </c>
      <c r="FZ30" s="165"/>
      <c r="GA30" s="165"/>
    </row>
    <row r="31" spans="1:183" customFormat="1">
      <c r="A31" s="165"/>
      <c r="B31" s="165"/>
      <c r="C31" s="165"/>
      <c r="D31" s="165"/>
      <c r="E31" s="165"/>
      <c r="F31" s="165"/>
      <c r="G31" s="165"/>
      <c r="H31" s="165"/>
      <c r="I31" s="286"/>
      <c r="J31" s="165"/>
      <c r="K31" s="165"/>
      <c r="L31" s="165"/>
      <c r="M31" s="165"/>
      <c r="N31" s="165"/>
      <c r="O31" s="165"/>
      <c r="P31" s="165"/>
      <c r="Q31" s="165"/>
      <c r="R31" s="165"/>
      <c r="S31" s="165"/>
      <c r="T31" s="165"/>
      <c r="U31" s="165"/>
      <c r="V31" s="165"/>
      <c r="Y31" s="268">
        <v>4</v>
      </c>
      <c r="Z31" s="287">
        <f>0.0466728322600377*100</f>
        <v>4.6672832260037698</v>
      </c>
      <c r="AA31" s="287">
        <f>0.00905165568406431*100</f>
        <v>0.90516556840643092</v>
      </c>
      <c r="AB31" s="287">
        <f>0.0054544970940787*100</f>
        <v>0.54544970940786996</v>
      </c>
      <c r="AC31" s="287">
        <f>0.0119353644917834*100</f>
        <v>1.19353644917834</v>
      </c>
      <c r="AD31" s="287">
        <f>0.0731143495299641*100</f>
        <v>7.3114349529964091</v>
      </c>
      <c r="AE31" s="287">
        <f>0.0789*100</f>
        <v>7.89</v>
      </c>
    </row>
    <row r="32" spans="1:183" customFormat="1" ht="13.5" thickBot="1">
      <c r="A32" s="165"/>
      <c r="B32" s="165"/>
      <c r="C32" s="165"/>
      <c r="D32" s="165"/>
      <c r="E32" s="165"/>
      <c r="F32" s="165"/>
      <c r="G32" s="165"/>
      <c r="H32" s="165"/>
      <c r="I32" s="286"/>
      <c r="J32" s="165"/>
      <c r="K32" s="165"/>
      <c r="L32" s="165"/>
      <c r="M32" s="165"/>
      <c r="N32" s="165"/>
      <c r="O32" s="165"/>
      <c r="P32" s="165"/>
      <c r="Q32" s="165"/>
      <c r="R32" s="165"/>
      <c r="S32" s="165"/>
      <c r="T32" s="165"/>
      <c r="U32" s="165"/>
      <c r="V32" s="165"/>
      <c r="Y32" s="288" t="s">
        <v>487</v>
      </c>
      <c r="Z32" s="289">
        <f>0.0289261916304664*100</f>
        <v>2.89261916304664</v>
      </c>
      <c r="AA32" s="289">
        <f>0.0100443031803397*100</f>
        <v>1.00443031803397</v>
      </c>
      <c r="AB32" s="289">
        <f>0.00877141809800511*100</f>
        <v>0.87714180980051104</v>
      </c>
      <c r="AC32" s="289">
        <f>0.0135799750151265*100</f>
        <v>1.35799750151265</v>
      </c>
      <c r="AD32" s="289">
        <f>0.0613218879239377*100</f>
        <v>6.1321887923937703</v>
      </c>
      <c r="AE32" s="289">
        <f>0.0789*100</f>
        <v>7.89</v>
      </c>
    </row>
    <row r="33" spans="1:31" customFormat="1" ht="24" customHeight="1" thickTop="1">
      <c r="A33" s="165"/>
      <c r="B33" s="165"/>
      <c r="C33" s="165"/>
      <c r="D33" s="165"/>
      <c r="E33" s="165"/>
      <c r="F33" s="165"/>
      <c r="G33" s="165"/>
      <c r="H33" s="165"/>
      <c r="I33" s="280"/>
      <c r="J33" s="165"/>
      <c r="K33" s="165"/>
      <c r="L33" s="165"/>
      <c r="M33" s="165"/>
      <c r="N33" s="165"/>
      <c r="O33" s="165"/>
      <c r="P33" s="165"/>
      <c r="Q33" s="165"/>
      <c r="R33" s="165"/>
      <c r="S33" s="165"/>
      <c r="T33" s="165"/>
      <c r="U33" s="165"/>
      <c r="V33" s="165"/>
      <c r="Y33" s="604" t="s">
        <v>90</v>
      </c>
      <c r="Z33" s="604"/>
      <c r="AA33" s="604"/>
      <c r="AB33" s="604"/>
      <c r="AC33" s="604"/>
      <c r="AD33" s="604"/>
      <c r="AE33" s="604"/>
    </row>
    <row r="34" spans="1:31" customFormat="1" ht="38.25">
      <c r="I34" s="293"/>
      <c r="Y34" s="291" t="s">
        <v>534</v>
      </c>
      <c r="Z34" s="291" t="s">
        <v>535</v>
      </c>
      <c r="AA34" s="291" t="s">
        <v>536</v>
      </c>
      <c r="AB34" s="291" t="s">
        <v>537</v>
      </c>
      <c r="AC34" s="291" t="s">
        <v>538</v>
      </c>
      <c r="AD34" s="291" t="s">
        <v>539</v>
      </c>
      <c r="AE34" s="291" t="s">
        <v>540</v>
      </c>
    </row>
    <row r="35" spans="1:31" customFormat="1">
      <c r="I35" s="294"/>
      <c r="Y35" s="268" t="s">
        <v>484</v>
      </c>
      <c r="Z35" s="287">
        <f>0.0086503852379207*100</f>
        <v>0.86503852379207002</v>
      </c>
      <c r="AA35" s="287">
        <f>0.032993184096845*100</f>
        <v>3.2993184096845001</v>
      </c>
      <c r="AB35" s="287">
        <f>0.016502790500149*100</f>
        <v>1.6502790500148998</v>
      </c>
      <c r="AC35" s="287">
        <f>0.0125075288250128*100</f>
        <v>1.2507528825012799</v>
      </c>
      <c r="AD35" s="287">
        <f>0.0706538886599275*100</f>
        <v>7.06538886599275</v>
      </c>
      <c r="AE35" s="287">
        <f>0.0607*100</f>
        <v>6.0699999999999994</v>
      </c>
    </row>
    <row r="36" spans="1:31" customFormat="1">
      <c r="I36" s="294"/>
      <c r="Y36" s="268">
        <v>2</v>
      </c>
      <c r="Z36" s="287">
        <f>0.00939184688093357*100</f>
        <v>0.93918468809335698</v>
      </c>
      <c r="AA36" s="287">
        <f>0.0256340428954883*100</f>
        <v>2.56340428954883</v>
      </c>
      <c r="AB36" s="287">
        <f>0.0194525830002167*100</f>
        <v>1.9452583000216701</v>
      </c>
      <c r="AC36" s="287">
        <f>0.0142048711251735*100</f>
        <v>1.4204871125173499</v>
      </c>
      <c r="AD36" s="287">
        <f>0.0686833439018122*100</f>
        <v>6.8683343901812206</v>
      </c>
      <c r="AE36" s="287">
        <f>0.0607*100</f>
        <v>6.0699999999999994</v>
      </c>
    </row>
    <row r="37" spans="1:31" customFormat="1">
      <c r="I37" s="294"/>
      <c r="Y37" s="268">
        <v>3</v>
      </c>
      <c r="Z37" s="287">
        <f>0.00996104926896937*100</f>
        <v>0.99610492689693708</v>
      </c>
      <c r="AA37" s="287">
        <f>0.0196980242263212*100</f>
        <v>1.96980242263212</v>
      </c>
      <c r="AB37" s="287">
        <f>0.0215183440318182*100</f>
        <v>2.15183440318182</v>
      </c>
      <c r="AC37" s="287">
        <f>0.0153073809596402*100</f>
        <v>1.53073809596402</v>
      </c>
      <c r="AD37" s="287">
        <f>0.066484798486749*100</f>
        <v>6.6484798486749002</v>
      </c>
      <c r="AE37" s="287">
        <f>0.0607*100</f>
        <v>6.0699999999999994</v>
      </c>
    </row>
    <row r="38" spans="1:31" customFormat="1">
      <c r="I38" s="294"/>
      <c r="Y38" s="268">
        <v>4</v>
      </c>
      <c r="Z38" s="287">
        <f>0.00987724272401238*100</f>
        <v>0.98772427240123795</v>
      </c>
      <c r="AA38" s="287">
        <f>0.0148738648517259*100</f>
        <v>1.48738648517259</v>
      </c>
      <c r="AB38" s="287">
        <f>0.0251650836372833*100</f>
        <v>2.5165083637283301</v>
      </c>
      <c r="AC38" s="287">
        <f>0.0165862678626189*100</f>
        <v>1.6586267862618902</v>
      </c>
      <c r="AD38" s="287">
        <f>0.0665024590756405*100</f>
        <v>6.6502459075640497</v>
      </c>
      <c r="AE38" s="287">
        <f>0.0607*100</f>
        <v>6.0699999999999994</v>
      </c>
    </row>
    <row r="39" spans="1:31" customFormat="1" ht="13.5" thickBot="1">
      <c r="I39" s="294"/>
      <c r="Y39" s="288" t="s">
        <v>487</v>
      </c>
      <c r="Z39" s="289">
        <f>0.00842858023847431*100</f>
        <v>0.84285802384743091</v>
      </c>
      <c r="AA39" s="289">
        <f>0.0114210033113627*100</f>
        <v>1.1421003311362701</v>
      </c>
      <c r="AB39" s="289">
        <f>0.0269755211795571*100</f>
        <v>2.69755211795571</v>
      </c>
      <c r="AC39" s="289">
        <f>0.0191319191252641*100</f>
        <v>1.9131919125264099</v>
      </c>
      <c r="AD39" s="289">
        <f>0.0659570238546582*100</f>
        <v>6.5957023854658194</v>
      </c>
      <c r="AE39" s="289">
        <f>0.0607*100</f>
        <v>6.0699999999999994</v>
      </c>
    </row>
    <row r="40" spans="1:31" customFormat="1" ht="19.5" customHeight="1" thickTop="1">
      <c r="I40" s="295"/>
      <c r="Y40" s="604" t="s">
        <v>481</v>
      </c>
      <c r="Z40" s="604"/>
      <c r="AA40" s="604"/>
      <c r="AB40" s="604"/>
      <c r="AC40" s="604"/>
      <c r="AD40" s="604"/>
      <c r="AE40" s="604"/>
    </row>
    <row r="41" spans="1:31" customFormat="1" ht="38.25">
      <c r="I41" s="293"/>
      <c r="Y41" s="291" t="s">
        <v>534</v>
      </c>
      <c r="Z41" s="291" t="s">
        <v>535</v>
      </c>
      <c r="AA41" s="291" t="s">
        <v>536</v>
      </c>
      <c r="AB41" s="291" t="s">
        <v>537</v>
      </c>
      <c r="AC41" s="291" t="s">
        <v>538</v>
      </c>
      <c r="AD41" s="291" t="s">
        <v>539</v>
      </c>
      <c r="AE41" s="291" t="s">
        <v>540</v>
      </c>
    </row>
    <row r="42" spans="1:31" customFormat="1">
      <c r="I42" s="294"/>
      <c r="Y42" s="268" t="s">
        <v>484</v>
      </c>
      <c r="Z42" s="287">
        <f>0.0142969984730275*100</f>
        <v>1.42969984730275</v>
      </c>
      <c r="AA42" s="287">
        <f>0.0307162657344551*100</f>
        <v>3.0716265734455099</v>
      </c>
      <c r="AB42" s="287">
        <f>0.0203962738783251*100</f>
        <v>2.03962738783251</v>
      </c>
      <c r="AC42" s="287">
        <f>0.0130534546150092*100</f>
        <v>1.3053454615009201</v>
      </c>
      <c r="AD42" s="287">
        <f>0.0784629927008169*100</f>
        <v>7.8462992700816896</v>
      </c>
      <c r="AE42" s="287">
        <f>0.0773*100</f>
        <v>7.7299999999999995</v>
      </c>
    </row>
    <row r="43" spans="1:31" customFormat="1">
      <c r="I43" s="294"/>
      <c r="Y43" s="268">
        <v>2</v>
      </c>
      <c r="Z43" s="287">
        <f>0.0146484464057324*100</f>
        <v>1.46484464057324</v>
      </c>
      <c r="AA43" s="287">
        <f>0.0240785426069792*100</f>
        <v>2.4078542606979201</v>
      </c>
      <c r="AB43" s="287">
        <f>0.0288720708579953*100</f>
        <v>2.8872070857995298</v>
      </c>
      <c r="AC43" s="287">
        <f>0.0139313934300762*100</f>
        <v>1.39313934300762</v>
      </c>
      <c r="AD43" s="287">
        <f>0.0815304533007831*100</f>
        <v>8.1530453300783101</v>
      </c>
      <c r="AE43" s="287">
        <f>0.0773*100</f>
        <v>7.7299999999999995</v>
      </c>
    </row>
    <row r="44" spans="1:31" customFormat="1">
      <c r="I44" s="294"/>
      <c r="Y44" s="268">
        <v>3</v>
      </c>
      <c r="Z44" s="287">
        <f>0.0159677799877745*100</f>
        <v>1.59677799877745</v>
      </c>
      <c r="AA44" s="287">
        <f>0.0189576084899185*100</f>
        <v>1.8957608489918498</v>
      </c>
      <c r="AB44" s="287">
        <f>0.0324502003175877*100</f>
        <v>3.2450200317587696</v>
      </c>
      <c r="AC44" s="287">
        <f>0.0148224168753526*100</f>
        <v>1.48224168753526</v>
      </c>
      <c r="AD44" s="287">
        <f>0.0821980056706332*100</f>
        <v>8.2198005670633201</v>
      </c>
      <c r="AE44" s="287">
        <f>0.0773*100</f>
        <v>7.7299999999999995</v>
      </c>
    </row>
    <row r="45" spans="1:31" customFormat="1">
      <c r="I45" s="294"/>
      <c r="Y45" s="268">
        <v>4</v>
      </c>
      <c r="Z45" s="287">
        <f>0.0152795972870053*100</f>
        <v>1.52795972870053</v>
      </c>
      <c r="AA45" s="287">
        <f>0.0150311762002143*100</f>
        <v>1.50311762002143</v>
      </c>
      <c r="AB45" s="287">
        <f>0.0348123296301267*100</f>
        <v>3.4812329630126695</v>
      </c>
      <c r="AC45" s="287">
        <f>0.0157492975895255*100</f>
        <v>1.5749297589525499</v>
      </c>
      <c r="AD45" s="287">
        <f>0.0808724007068718*100</f>
        <v>8.0872400706871801</v>
      </c>
      <c r="AE45" s="287">
        <f>0.0773*100</f>
        <v>7.7299999999999995</v>
      </c>
    </row>
    <row r="46" spans="1:31" customFormat="1" ht="13.5" thickBot="1">
      <c r="I46" s="294"/>
      <c r="Y46" s="288" t="s">
        <v>487</v>
      </c>
      <c r="Z46" s="289">
        <f>0.0137302183668394*100</f>
        <v>1.37302183668394</v>
      </c>
      <c r="AA46" s="289">
        <f>0.0108785779905045*100</f>
        <v>1.0878577990504501</v>
      </c>
      <c r="AB46" s="289">
        <f>0.0412981352722396*100</f>
        <v>4.12981352722396</v>
      </c>
      <c r="AC46" s="289">
        <f>0.0171495066180093*100</f>
        <v>1.7149506618009298</v>
      </c>
      <c r="AD46" s="289">
        <f>0.0830564382475928*100</f>
        <v>8.3056438247592812</v>
      </c>
      <c r="AE46" s="289">
        <f>0.0773*100</f>
        <v>7.7299999999999995</v>
      </c>
    </row>
    <row r="47" spans="1:31" customFormat="1" ht="13.5" thickTop="1"/>
    <row r="48" spans="1:31"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sheetData>
  <mergeCells count="8">
    <mergeCell ref="Y33:AE33"/>
    <mergeCell ref="Y40:AE40"/>
    <mergeCell ref="K5:X5"/>
    <mergeCell ref="Y5:AE5"/>
    <mergeCell ref="Y12:AE12"/>
    <mergeCell ref="K15:X15"/>
    <mergeCell ref="Y19:AE19"/>
    <mergeCell ref="Y26:AE26"/>
  </mergeCell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FD4E-E51F-4620-9FD1-95098FC94DFE}">
  <dimension ref="B1:W42"/>
  <sheetViews>
    <sheetView zoomScaleNormal="100" workbookViewId="0">
      <selection activeCell="B88" sqref="B88:K88"/>
    </sheetView>
  </sheetViews>
  <sheetFormatPr defaultRowHeight="12.75"/>
  <cols>
    <col min="20" max="20" width="10" bestFit="1" customWidth="1"/>
    <col min="21" max="21" width="12.28515625" customWidth="1"/>
    <col min="22" max="23" width="10" bestFit="1" customWidth="1"/>
  </cols>
  <sheetData>
    <row r="1" spans="2:22" ht="15">
      <c r="B1" s="296" t="s">
        <v>541</v>
      </c>
    </row>
    <row r="2" spans="2:22" ht="14.25">
      <c r="B2" s="297" t="s">
        <v>477</v>
      </c>
      <c r="R2" s="268"/>
      <c r="S2" s="268"/>
      <c r="T2" s="609"/>
      <c r="U2" s="609"/>
      <c r="V2" s="609"/>
    </row>
    <row r="3" spans="2:22">
      <c r="B3" s="165"/>
      <c r="C3" s="165"/>
      <c r="D3" s="165"/>
      <c r="E3" s="165"/>
      <c r="F3" s="165"/>
      <c r="G3" s="165"/>
      <c r="H3" s="165"/>
      <c r="I3" s="165"/>
      <c r="J3" s="165"/>
      <c r="K3" s="165"/>
      <c r="L3" s="165"/>
      <c r="M3" s="165"/>
      <c r="N3" s="165"/>
      <c r="O3" s="165"/>
      <c r="P3" s="165"/>
      <c r="Q3" s="165"/>
      <c r="R3" s="298"/>
      <c r="S3" s="268"/>
      <c r="T3" s="268" t="s">
        <v>542</v>
      </c>
      <c r="U3" s="268" t="s">
        <v>543</v>
      </c>
      <c r="V3" s="268" t="s">
        <v>544</v>
      </c>
    </row>
    <row r="4" spans="2:22">
      <c r="B4" s="165"/>
      <c r="C4" s="165"/>
      <c r="D4" s="165"/>
      <c r="E4" s="165"/>
      <c r="F4" s="165"/>
      <c r="G4" s="165"/>
      <c r="H4" s="165"/>
      <c r="I4" s="165"/>
      <c r="J4" s="165"/>
      <c r="K4" s="165"/>
      <c r="L4" s="165"/>
      <c r="M4" s="165"/>
      <c r="N4" s="165"/>
      <c r="O4" s="165"/>
      <c r="P4" s="165"/>
      <c r="Q4" s="165"/>
      <c r="R4" s="608" t="s">
        <v>545</v>
      </c>
      <c r="S4" s="267" t="s">
        <v>484</v>
      </c>
      <c r="T4" s="299">
        <v>-1.0464450214124825</v>
      </c>
      <c r="U4" s="299">
        <v>-1.6910519425160813</v>
      </c>
      <c r="V4" s="299">
        <v>-2.7374969639285638</v>
      </c>
    </row>
    <row r="5" spans="2:22" s="171" customFormat="1">
      <c r="B5" s="282"/>
      <c r="C5" s="282"/>
      <c r="D5" s="282"/>
      <c r="E5" s="282"/>
      <c r="F5" s="282"/>
      <c r="G5" s="282"/>
      <c r="H5" s="282"/>
      <c r="I5" s="282"/>
      <c r="J5" s="282"/>
      <c r="K5" s="282"/>
      <c r="L5" s="282"/>
      <c r="M5" s="282"/>
      <c r="N5" s="282"/>
      <c r="O5" s="282"/>
      <c r="P5" s="282"/>
      <c r="Q5" s="282"/>
      <c r="R5" s="608"/>
      <c r="S5" s="300">
        <v>2</v>
      </c>
      <c r="T5" s="301">
        <v>-1.0975938484335293</v>
      </c>
      <c r="U5" s="301">
        <v>-1.4253132175535681</v>
      </c>
      <c r="V5" s="301">
        <v>-2.5229070659870971</v>
      </c>
    </row>
    <row r="6" spans="2:22">
      <c r="B6" s="165"/>
      <c r="C6" s="165"/>
      <c r="D6" s="165"/>
      <c r="E6" s="165"/>
      <c r="F6" s="165"/>
      <c r="G6" s="165"/>
      <c r="H6" s="165"/>
      <c r="I6" s="165"/>
      <c r="J6" s="165"/>
      <c r="K6" s="165"/>
      <c r="L6" s="165"/>
      <c r="M6" s="165"/>
      <c r="N6" s="165"/>
      <c r="O6" s="165"/>
      <c r="P6" s="165"/>
      <c r="Q6" s="165"/>
      <c r="R6" s="608"/>
      <c r="S6" s="300">
        <v>3</v>
      </c>
      <c r="T6" s="299">
        <v>-1.0698919412140935</v>
      </c>
      <c r="U6" s="299">
        <v>-0.811447624809848</v>
      </c>
      <c r="V6" s="299">
        <v>-1.8813395660239416</v>
      </c>
    </row>
    <row r="7" spans="2:22">
      <c r="B7" s="165"/>
      <c r="C7" s="165"/>
      <c r="D7" s="165"/>
      <c r="E7" s="165"/>
      <c r="F7" s="165"/>
      <c r="G7" s="165"/>
      <c r="H7" s="165"/>
      <c r="I7" s="165"/>
      <c r="J7" s="165"/>
      <c r="K7" s="165"/>
      <c r="L7" s="165"/>
      <c r="M7" s="165"/>
      <c r="N7" s="165"/>
      <c r="O7" s="165"/>
      <c r="P7" s="165"/>
      <c r="Q7" s="165"/>
      <c r="R7" s="608"/>
      <c r="S7" s="300">
        <v>4</v>
      </c>
      <c r="T7" s="299">
        <v>-1.1129386750123282</v>
      </c>
      <c r="U7" s="299">
        <v>-0.26650870317141845</v>
      </c>
      <c r="V7" s="299">
        <v>-1.3794473781837469</v>
      </c>
    </row>
    <row r="8" spans="2:22">
      <c r="B8" s="165"/>
      <c r="C8" s="165"/>
      <c r="D8" s="165"/>
      <c r="E8" s="165"/>
      <c r="F8" s="165"/>
      <c r="G8" s="165"/>
      <c r="H8" s="165"/>
      <c r="I8" s="165"/>
      <c r="J8" s="165"/>
      <c r="K8" s="165"/>
      <c r="L8" s="165"/>
      <c r="M8" s="165"/>
      <c r="N8" s="165"/>
      <c r="O8" s="165"/>
      <c r="P8" s="165"/>
      <c r="Q8" s="165"/>
      <c r="R8" s="608"/>
      <c r="S8" s="300" t="s">
        <v>487</v>
      </c>
      <c r="T8" s="299">
        <v>-1.3520673582722365</v>
      </c>
      <c r="U8" s="299">
        <v>0.89980220452825876</v>
      </c>
      <c r="V8" s="299">
        <v>-0.45226515374397758</v>
      </c>
    </row>
    <row r="9" spans="2:22">
      <c r="B9" s="165"/>
      <c r="C9" s="165"/>
      <c r="D9" s="165"/>
      <c r="E9" s="165"/>
      <c r="F9" s="165"/>
      <c r="G9" s="165"/>
      <c r="H9" s="165"/>
      <c r="I9" s="165"/>
      <c r="J9" s="165"/>
      <c r="K9" s="165"/>
      <c r="L9" s="165"/>
      <c r="M9" s="165"/>
      <c r="N9" s="165"/>
      <c r="O9" s="165"/>
      <c r="P9" s="165"/>
      <c r="Q9" s="165"/>
      <c r="R9" s="298"/>
      <c r="S9" s="606"/>
      <c r="T9" s="606"/>
      <c r="U9" s="606"/>
      <c r="V9" s="606"/>
    </row>
    <row r="10" spans="2:22">
      <c r="B10" s="165"/>
      <c r="C10" s="165"/>
      <c r="D10" s="165"/>
      <c r="E10" s="165"/>
      <c r="F10" s="165"/>
      <c r="G10" s="165"/>
      <c r="H10" s="165"/>
      <c r="I10" s="165"/>
      <c r="J10" s="165"/>
      <c r="K10" s="165"/>
      <c r="L10" s="165"/>
      <c r="M10" s="165"/>
      <c r="N10" s="165"/>
      <c r="O10" s="165"/>
      <c r="P10" s="165"/>
      <c r="Q10" s="165"/>
      <c r="R10" s="608" t="s">
        <v>546</v>
      </c>
      <c r="S10" s="267" t="s">
        <v>484</v>
      </c>
      <c r="T10" s="302">
        <v>1.4627114161357089</v>
      </c>
      <c r="U10" s="302">
        <v>-1.4555308307537826</v>
      </c>
      <c r="V10" s="302">
        <v>7.1805853819262994E-3</v>
      </c>
    </row>
    <row r="11" spans="2:22">
      <c r="B11" s="165"/>
      <c r="C11" s="165"/>
      <c r="D11" s="165"/>
      <c r="E11" s="165"/>
      <c r="F11" s="165"/>
      <c r="G11" s="165"/>
      <c r="H11" s="165"/>
      <c r="I11" s="165"/>
      <c r="J11" s="165"/>
      <c r="K11" s="165"/>
      <c r="L11" s="165"/>
      <c r="M11" s="165"/>
      <c r="N11" s="165"/>
      <c r="O11" s="165"/>
      <c r="P11" s="165"/>
      <c r="Q11" s="165"/>
      <c r="R11" s="608"/>
      <c r="S11" s="300">
        <v>2</v>
      </c>
      <c r="T11" s="302">
        <v>1.0645535402359645</v>
      </c>
      <c r="U11" s="302">
        <v>-0.77007742702771587</v>
      </c>
      <c r="V11" s="302">
        <v>0.29447611320824862</v>
      </c>
    </row>
    <row r="12" spans="2:22">
      <c r="B12" s="165"/>
      <c r="C12" s="165"/>
      <c r="D12" s="165"/>
      <c r="E12" s="165"/>
      <c r="F12" s="165"/>
      <c r="G12" s="165"/>
      <c r="H12" s="165"/>
      <c r="I12" s="165"/>
      <c r="J12" s="165"/>
      <c r="K12" s="165"/>
      <c r="L12" s="165"/>
      <c r="M12" s="165"/>
      <c r="N12" s="165"/>
      <c r="O12" s="165"/>
      <c r="P12" s="165"/>
      <c r="Q12" s="165"/>
      <c r="R12" s="608"/>
      <c r="S12" s="300">
        <v>3</v>
      </c>
      <c r="T12" s="302">
        <v>1.3157421672802558</v>
      </c>
      <c r="U12" s="302">
        <v>-0.44970417036809135</v>
      </c>
      <c r="V12" s="302">
        <v>0.86603799691216432</v>
      </c>
    </row>
    <row r="13" spans="2:22">
      <c r="B13" s="165"/>
      <c r="C13" s="165"/>
      <c r="D13" s="165"/>
      <c r="E13" s="165"/>
      <c r="F13" s="165"/>
      <c r="G13" s="165"/>
      <c r="H13" s="165"/>
      <c r="I13" s="165"/>
      <c r="J13" s="165"/>
      <c r="K13" s="165"/>
      <c r="L13" s="165"/>
      <c r="M13" s="165"/>
      <c r="N13" s="165"/>
      <c r="O13" s="165"/>
      <c r="P13" s="165"/>
      <c r="Q13" s="165"/>
      <c r="R13" s="608"/>
      <c r="S13" s="300">
        <v>4</v>
      </c>
      <c r="T13" s="302">
        <v>1.1983988138971484</v>
      </c>
      <c r="U13" s="302">
        <v>-4.9642269607991868E-2</v>
      </c>
      <c r="V13" s="302">
        <v>1.1487565442891565</v>
      </c>
    </row>
    <row r="14" spans="2:22">
      <c r="B14" s="165"/>
      <c r="C14" s="165"/>
      <c r="D14" s="165"/>
      <c r="E14" s="165"/>
      <c r="F14" s="165"/>
      <c r="G14" s="165"/>
      <c r="H14" s="165"/>
      <c r="I14" s="165"/>
      <c r="J14" s="165"/>
      <c r="K14" s="165"/>
      <c r="L14" s="165"/>
      <c r="M14" s="165"/>
      <c r="N14" s="165"/>
      <c r="O14" s="165"/>
      <c r="P14" s="165"/>
      <c r="Q14" s="165"/>
      <c r="R14" s="608"/>
      <c r="S14" s="300" t="s">
        <v>487</v>
      </c>
      <c r="T14" s="302">
        <v>1.6883143486823813</v>
      </c>
      <c r="U14" s="302">
        <v>0.5969765067272812</v>
      </c>
      <c r="V14" s="302">
        <v>2.2852908554096629</v>
      </c>
    </row>
    <row r="15" spans="2:22">
      <c r="B15" s="165"/>
      <c r="C15" s="165"/>
      <c r="D15" s="165"/>
      <c r="E15" s="165"/>
      <c r="F15" s="165"/>
      <c r="G15" s="165"/>
      <c r="H15" s="165"/>
      <c r="I15" s="165"/>
      <c r="J15" s="165"/>
      <c r="K15" s="165"/>
      <c r="L15" s="165"/>
      <c r="M15" s="165"/>
      <c r="N15" s="165"/>
      <c r="O15" s="165"/>
      <c r="P15" s="165"/>
      <c r="Q15" s="165"/>
      <c r="R15" s="298"/>
      <c r="S15" s="606"/>
      <c r="T15" s="606"/>
      <c r="U15" s="606"/>
      <c r="V15" s="606"/>
    </row>
    <row r="16" spans="2:22">
      <c r="B16" s="165"/>
      <c r="C16" s="165"/>
      <c r="D16" s="165"/>
      <c r="E16" s="165"/>
      <c r="F16" s="165"/>
      <c r="G16" s="165"/>
      <c r="H16" s="165"/>
      <c r="I16" s="165"/>
      <c r="J16" s="165"/>
      <c r="K16" s="165"/>
      <c r="L16" s="165"/>
      <c r="M16" s="165"/>
      <c r="N16" s="165"/>
      <c r="O16" s="165"/>
      <c r="P16" s="165"/>
      <c r="Q16" s="165"/>
      <c r="R16" s="608" t="s">
        <v>547</v>
      </c>
      <c r="S16" s="267" t="s">
        <v>484</v>
      </c>
      <c r="T16" s="302">
        <v>-3.3009878637535017</v>
      </c>
      <c r="U16" s="302">
        <v>-0.52391850910085558</v>
      </c>
      <c r="V16" s="302">
        <v>-3.8249063728543571</v>
      </c>
    </row>
    <row r="17" spans="2:23">
      <c r="B17" s="165"/>
      <c r="C17" s="165"/>
      <c r="D17" s="165"/>
      <c r="E17" s="165"/>
      <c r="F17" s="165"/>
      <c r="G17" s="165"/>
      <c r="H17" s="165"/>
      <c r="I17" s="165"/>
      <c r="J17" s="165"/>
      <c r="K17" s="165"/>
      <c r="L17" s="165"/>
      <c r="M17" s="165"/>
      <c r="N17" s="165"/>
      <c r="O17" s="165"/>
      <c r="P17" s="165"/>
      <c r="Q17" s="165"/>
      <c r="R17" s="608"/>
      <c r="S17" s="300">
        <v>2</v>
      </c>
      <c r="T17" s="302">
        <v>-3.9343483957669836</v>
      </c>
      <c r="U17" s="302">
        <v>-0.54590410257990374</v>
      </c>
      <c r="V17" s="302">
        <v>-4.4802524983468874</v>
      </c>
    </row>
    <row r="18" spans="2:23">
      <c r="B18" s="165"/>
      <c r="C18" s="165"/>
      <c r="D18" s="165"/>
      <c r="E18" s="165"/>
      <c r="F18" s="165"/>
      <c r="G18" s="165"/>
      <c r="H18" s="165"/>
      <c r="I18" s="165"/>
      <c r="J18" s="165"/>
      <c r="K18" s="165"/>
      <c r="L18" s="165"/>
      <c r="M18" s="165"/>
      <c r="N18" s="165"/>
      <c r="O18" s="165"/>
      <c r="P18" s="165"/>
      <c r="Q18" s="165"/>
      <c r="R18" s="608"/>
      <c r="S18" s="300">
        <v>3</v>
      </c>
      <c r="T18" s="302">
        <v>-3.6109142119251829</v>
      </c>
      <c r="U18" s="302">
        <v>-0.44356110714656832</v>
      </c>
      <c r="V18" s="302">
        <v>-4.0544753190717513</v>
      </c>
    </row>
    <row r="19" spans="2:23">
      <c r="B19" s="165"/>
      <c r="C19" s="165"/>
      <c r="D19" s="165"/>
      <c r="E19" s="165"/>
      <c r="F19" s="165"/>
      <c r="G19" s="165"/>
      <c r="H19" s="165"/>
      <c r="I19" s="165"/>
      <c r="J19" s="165"/>
      <c r="K19" s="165"/>
      <c r="L19" s="165"/>
      <c r="M19" s="165"/>
      <c r="N19" s="165"/>
      <c r="O19" s="165"/>
      <c r="P19" s="165"/>
      <c r="Q19" s="165"/>
      <c r="R19" s="608"/>
      <c r="S19" s="300">
        <v>4</v>
      </c>
      <c r="T19" s="302">
        <v>-4.6347085862666324</v>
      </c>
      <c r="U19" s="302">
        <v>9.7149589040126955E-3</v>
      </c>
      <c r="V19" s="302">
        <v>-4.6249936273626195</v>
      </c>
    </row>
    <row r="20" spans="2:23">
      <c r="B20" s="165"/>
      <c r="C20" s="165"/>
      <c r="D20" s="165"/>
      <c r="E20" s="165"/>
      <c r="F20" s="165"/>
      <c r="G20" s="165"/>
      <c r="H20" s="165"/>
      <c r="I20" s="165"/>
      <c r="J20" s="165"/>
      <c r="K20" s="165"/>
      <c r="L20" s="165"/>
      <c r="M20" s="165"/>
      <c r="N20" s="165"/>
      <c r="O20" s="165"/>
      <c r="P20" s="165"/>
      <c r="Q20" s="165"/>
      <c r="R20" s="608"/>
      <c r="S20" s="300" t="s">
        <v>487</v>
      </c>
      <c r="T20" s="302">
        <v>-4.4531438524391582</v>
      </c>
      <c r="U20" s="302">
        <v>0.88829589749293525</v>
      </c>
      <c r="V20" s="302">
        <v>-3.5648479549462224</v>
      </c>
    </row>
    <row r="21" spans="2:23">
      <c r="B21" s="165"/>
      <c r="C21" s="165"/>
      <c r="D21" s="165"/>
      <c r="E21" s="165"/>
      <c r="F21" s="165"/>
      <c r="G21" s="165"/>
      <c r="H21" s="165"/>
      <c r="I21" s="165"/>
      <c r="J21" s="165"/>
      <c r="K21" s="165"/>
      <c r="L21" s="165"/>
      <c r="M21" s="165"/>
      <c r="N21" s="165"/>
      <c r="O21" s="165"/>
      <c r="P21" s="165"/>
      <c r="Q21" s="165"/>
      <c r="R21" s="298"/>
      <c r="S21" s="609"/>
      <c r="T21" s="609"/>
      <c r="U21" s="609"/>
      <c r="V21" s="609"/>
      <c r="W21" s="609"/>
    </row>
    <row r="22" spans="2:23">
      <c r="B22" s="165"/>
      <c r="C22" s="165"/>
      <c r="D22" s="165"/>
      <c r="E22" s="165"/>
      <c r="F22" s="165"/>
      <c r="G22" s="165"/>
      <c r="H22" s="165"/>
      <c r="I22" s="165"/>
      <c r="J22" s="165"/>
      <c r="K22" s="165"/>
      <c r="L22" s="165"/>
      <c r="M22" s="165"/>
      <c r="N22" s="165"/>
      <c r="O22" s="165"/>
      <c r="P22" s="165"/>
      <c r="Q22" s="165"/>
      <c r="R22" s="298"/>
      <c r="S22" s="268"/>
      <c r="T22" s="268" t="s">
        <v>542</v>
      </c>
      <c r="U22" s="268" t="s">
        <v>543</v>
      </c>
      <c r="V22" s="268" t="s">
        <v>548</v>
      </c>
      <c r="W22" s="268" t="s">
        <v>544</v>
      </c>
    </row>
    <row r="23" spans="2:23">
      <c r="B23" s="165"/>
      <c r="C23" s="165"/>
      <c r="D23" s="165"/>
      <c r="E23" s="165"/>
      <c r="F23" s="165"/>
      <c r="G23" s="165"/>
      <c r="H23" s="165"/>
      <c r="I23" s="165"/>
      <c r="J23" s="165"/>
      <c r="K23" s="165"/>
      <c r="L23" s="165"/>
      <c r="M23" s="165"/>
      <c r="N23" s="165"/>
      <c r="O23" s="165"/>
      <c r="P23" s="165"/>
      <c r="Q23" s="165"/>
      <c r="R23" s="608" t="s">
        <v>549</v>
      </c>
      <c r="S23" s="267" t="s">
        <v>484</v>
      </c>
      <c r="T23" s="299">
        <v>2.7208403811420863</v>
      </c>
      <c r="U23" s="299">
        <v>-2.125225678947658</v>
      </c>
      <c r="V23" s="299">
        <v>3.7803697157354441</v>
      </c>
      <c r="W23" s="299">
        <v>4.3759844179298719</v>
      </c>
    </row>
    <row r="24" spans="2:23">
      <c r="B24" s="165"/>
      <c r="C24" s="165"/>
      <c r="D24" s="165"/>
      <c r="E24" s="165"/>
      <c r="F24" s="165"/>
      <c r="G24" s="165"/>
      <c r="H24" s="165"/>
      <c r="I24" s="165"/>
      <c r="J24" s="165"/>
      <c r="K24" s="165"/>
      <c r="L24" s="165"/>
      <c r="M24" s="165"/>
      <c r="N24" s="165"/>
      <c r="O24" s="165"/>
      <c r="P24" s="165"/>
      <c r="Q24" s="165"/>
      <c r="R24" s="608"/>
      <c r="S24" s="300">
        <v>2</v>
      </c>
      <c r="T24" s="299">
        <v>3.7377614373704953</v>
      </c>
      <c r="U24" s="299">
        <v>-1.0764069412461841</v>
      </c>
      <c r="V24" s="299">
        <v>1.3322218043726821</v>
      </c>
      <c r="W24" s="299">
        <v>3.9935763004969926</v>
      </c>
    </row>
    <row r="25" spans="2:23">
      <c r="B25" s="165"/>
      <c r="C25" s="165"/>
      <c r="D25" s="165"/>
      <c r="E25" s="165"/>
      <c r="F25" s="165"/>
      <c r="G25" s="165"/>
      <c r="H25" s="165"/>
      <c r="I25" s="165"/>
      <c r="J25" s="165"/>
      <c r="K25" s="165"/>
      <c r="L25" s="165"/>
      <c r="M25" s="165"/>
      <c r="N25" s="165"/>
      <c r="O25" s="165"/>
      <c r="P25" s="165"/>
      <c r="Q25" s="165"/>
      <c r="R25" s="608"/>
      <c r="S25" s="300">
        <v>3</v>
      </c>
      <c r="T25" s="299">
        <v>3.4257224557434491</v>
      </c>
      <c r="U25" s="299">
        <v>-0.62149593025268857</v>
      </c>
      <c r="V25" s="299">
        <v>1.4438802723422386</v>
      </c>
      <c r="W25" s="299">
        <v>4.2481067978329987</v>
      </c>
    </row>
    <row r="26" spans="2:23">
      <c r="B26" s="165"/>
      <c r="C26" s="165"/>
      <c r="D26" s="165"/>
      <c r="E26" s="165"/>
      <c r="F26" s="165"/>
      <c r="G26" s="165"/>
      <c r="H26" s="165"/>
      <c r="I26" s="165"/>
      <c r="J26" s="165"/>
      <c r="K26" s="165"/>
      <c r="L26" s="165"/>
      <c r="M26" s="165"/>
      <c r="N26" s="165"/>
      <c r="O26" s="165"/>
      <c r="P26" s="165"/>
      <c r="Q26" s="165"/>
      <c r="R26" s="608"/>
      <c r="S26" s="300">
        <v>4</v>
      </c>
      <c r="T26" s="299">
        <v>3.1109149335314767</v>
      </c>
      <c r="U26" s="299">
        <v>-7.5929399483803381E-2</v>
      </c>
      <c r="V26" s="299">
        <v>1.3747872967252401</v>
      </c>
      <c r="W26" s="299">
        <v>4.4097728307729138</v>
      </c>
    </row>
    <row r="27" spans="2:23">
      <c r="B27" s="165"/>
      <c r="C27" s="165"/>
      <c r="D27" s="165"/>
      <c r="E27" s="165"/>
      <c r="F27" s="165"/>
      <c r="G27" s="165"/>
      <c r="H27" s="165"/>
      <c r="I27" s="165"/>
      <c r="J27" s="165"/>
      <c r="K27" s="165"/>
      <c r="L27" s="165"/>
      <c r="M27" s="165"/>
      <c r="N27" s="165"/>
      <c r="O27" s="165"/>
      <c r="P27" s="165"/>
      <c r="Q27" s="165"/>
      <c r="R27" s="608"/>
      <c r="S27" s="300" t="s">
        <v>487</v>
      </c>
      <c r="T27" s="299">
        <v>1.0510606300647825</v>
      </c>
      <c r="U27" s="299">
        <v>0.72881459282236383</v>
      </c>
      <c r="V27" s="299">
        <v>1.8406118758552235</v>
      </c>
      <c r="W27" s="299">
        <v>3.6204870987423696</v>
      </c>
    </row>
    <row r="28" spans="2:23">
      <c r="B28" s="165"/>
      <c r="C28" s="165"/>
      <c r="D28" s="165"/>
      <c r="E28" s="165"/>
      <c r="F28" s="165"/>
      <c r="G28" s="165"/>
      <c r="H28" s="165"/>
      <c r="I28" s="165"/>
      <c r="J28" s="165"/>
      <c r="K28" s="165"/>
      <c r="L28" s="165"/>
      <c r="M28" s="165"/>
      <c r="N28" s="165"/>
      <c r="O28" s="165"/>
      <c r="P28" s="165"/>
      <c r="Q28" s="165"/>
      <c r="R28" s="298"/>
      <c r="S28" s="609"/>
      <c r="T28" s="609"/>
      <c r="U28" s="609"/>
      <c r="V28" s="609"/>
      <c r="W28" s="609"/>
    </row>
    <row r="29" spans="2:23">
      <c r="B29" s="165"/>
      <c r="C29" s="165"/>
      <c r="D29" s="165"/>
      <c r="E29" s="165"/>
      <c r="F29" s="165"/>
      <c r="G29" s="165"/>
      <c r="H29" s="165"/>
      <c r="I29" s="165"/>
      <c r="J29" s="165"/>
      <c r="K29" s="165"/>
      <c r="L29" s="165"/>
      <c r="M29" s="165"/>
      <c r="N29" s="165"/>
      <c r="O29" s="165"/>
      <c r="P29" s="165"/>
      <c r="Q29" s="165"/>
      <c r="R29" s="608" t="s">
        <v>550</v>
      </c>
      <c r="S29" s="267" t="s">
        <v>484</v>
      </c>
      <c r="T29" s="302">
        <v>-4.9398893795467833</v>
      </c>
      <c r="U29" s="302">
        <v>0.19173290178622038</v>
      </c>
      <c r="V29" s="302">
        <v>-2.1320378472043426</v>
      </c>
      <c r="W29" s="302">
        <v>-6.880194324964906</v>
      </c>
    </row>
    <row r="30" spans="2:23">
      <c r="B30" s="165"/>
      <c r="C30" s="165"/>
      <c r="D30" s="165"/>
      <c r="E30" s="165"/>
      <c r="F30" s="165"/>
      <c r="G30" s="165"/>
      <c r="H30" s="165"/>
      <c r="I30" s="165"/>
      <c r="J30" s="165"/>
      <c r="K30" s="165"/>
      <c r="L30" s="165"/>
      <c r="M30" s="165"/>
      <c r="N30" s="165"/>
      <c r="O30" s="165"/>
      <c r="P30" s="165"/>
      <c r="Q30" s="165"/>
      <c r="R30" s="608"/>
      <c r="S30" s="300">
        <v>2</v>
      </c>
      <c r="T30" s="302">
        <v>-4.4974052554584292</v>
      </c>
      <c r="U30" s="302">
        <v>0.12669003321815933</v>
      </c>
      <c r="V30" s="302">
        <v>-1.918104260301513</v>
      </c>
      <c r="W30" s="302">
        <v>-6.2888194825417827</v>
      </c>
    </row>
    <row r="31" spans="2:23">
      <c r="B31" s="165"/>
      <c r="C31" s="165"/>
      <c r="D31" s="165"/>
      <c r="E31" s="165"/>
      <c r="F31" s="165"/>
      <c r="G31" s="165"/>
      <c r="H31" s="165"/>
      <c r="I31" s="165"/>
      <c r="J31" s="165"/>
      <c r="K31" s="165"/>
      <c r="L31" s="165"/>
      <c r="M31" s="165"/>
      <c r="N31" s="165"/>
      <c r="O31" s="165"/>
      <c r="P31" s="165"/>
      <c r="Q31" s="165"/>
      <c r="R31" s="608"/>
      <c r="S31" s="300">
        <v>3</v>
      </c>
      <c r="T31" s="302">
        <v>-4.7506868720085738</v>
      </c>
      <c r="U31" s="302">
        <v>-7.7233758590275245E-2</v>
      </c>
      <c r="V31" s="302">
        <v>2.4642234966692801E-2</v>
      </c>
      <c r="W31" s="302">
        <v>-4.8032783956321561</v>
      </c>
    </row>
    <row r="32" spans="2:23">
      <c r="B32" s="165"/>
      <c r="C32" s="165"/>
      <c r="D32" s="165"/>
      <c r="E32" s="165"/>
      <c r="F32" s="165"/>
      <c r="G32" s="165"/>
      <c r="H32" s="165"/>
      <c r="I32" s="165"/>
      <c r="J32" s="165"/>
      <c r="K32" s="165"/>
      <c r="L32" s="165"/>
      <c r="M32" s="165"/>
      <c r="N32" s="165"/>
      <c r="O32" s="165"/>
      <c r="P32" s="165"/>
      <c r="Q32" s="165"/>
      <c r="R32" s="608"/>
      <c r="S32" s="300">
        <v>4</v>
      </c>
      <c r="T32" s="302">
        <v>-5.0065913701065767</v>
      </c>
      <c r="U32" s="302">
        <v>2.4770242501684601E-2</v>
      </c>
      <c r="V32" s="302">
        <v>1.7964739896702484</v>
      </c>
      <c r="W32" s="302">
        <v>-3.1853471379346443</v>
      </c>
    </row>
    <row r="33" spans="2:23">
      <c r="B33" s="165"/>
      <c r="C33" s="165"/>
      <c r="D33" s="165"/>
      <c r="E33" s="165"/>
      <c r="F33" s="165"/>
      <c r="G33" s="165"/>
      <c r="H33" s="165"/>
      <c r="I33" s="165"/>
      <c r="J33" s="165"/>
      <c r="K33" s="165"/>
      <c r="L33" s="165"/>
      <c r="M33" s="165"/>
      <c r="N33" s="165"/>
      <c r="O33" s="165"/>
      <c r="P33" s="165"/>
      <c r="Q33" s="165"/>
      <c r="R33" s="608"/>
      <c r="S33" s="300" t="s">
        <v>487</v>
      </c>
      <c r="T33" s="302">
        <v>-5.34505747521189</v>
      </c>
      <c r="U33" s="302">
        <v>-5.6937599453811084E-2</v>
      </c>
      <c r="V33" s="302">
        <v>-0.12685162657209348</v>
      </c>
      <c r="W33" s="302">
        <v>-5.5288467012377946</v>
      </c>
    </row>
    <row r="34" spans="2:23">
      <c r="B34" s="165"/>
      <c r="C34" s="165"/>
      <c r="D34" s="165"/>
      <c r="E34" s="165"/>
      <c r="F34" s="165"/>
      <c r="G34" s="165"/>
      <c r="H34" s="165"/>
      <c r="I34" s="165"/>
      <c r="J34" s="165"/>
      <c r="K34" s="165"/>
      <c r="L34" s="165"/>
      <c r="M34" s="165"/>
      <c r="N34" s="165"/>
      <c r="O34" s="165"/>
      <c r="P34" s="165"/>
      <c r="Q34" s="165"/>
      <c r="R34" s="298"/>
      <c r="S34" s="609"/>
      <c r="T34" s="609"/>
      <c r="U34" s="609"/>
      <c r="V34" s="609"/>
      <c r="W34" s="609"/>
    </row>
    <row r="35" spans="2:23">
      <c r="B35" s="165"/>
      <c r="C35" s="165"/>
      <c r="D35" s="165"/>
      <c r="E35" s="165"/>
      <c r="F35" s="165"/>
      <c r="G35" s="165"/>
      <c r="H35" s="165"/>
      <c r="I35" s="165"/>
      <c r="J35" s="165"/>
      <c r="K35" s="165"/>
      <c r="L35" s="165"/>
      <c r="M35" s="165"/>
      <c r="N35" s="165"/>
      <c r="O35" s="165"/>
      <c r="P35" s="165"/>
      <c r="Q35" s="165"/>
      <c r="R35" s="608" t="s">
        <v>551</v>
      </c>
      <c r="S35" s="267" t="s">
        <v>484</v>
      </c>
      <c r="T35" s="302">
        <v>-3.3456563610676935</v>
      </c>
      <c r="U35" s="302">
        <v>-0.18584181252723278</v>
      </c>
      <c r="V35" s="302">
        <v>-0.66201880221743414</v>
      </c>
      <c r="W35" s="302">
        <v>-4.1935169758123596</v>
      </c>
    </row>
    <row r="36" spans="2:23">
      <c r="B36" s="165"/>
      <c r="C36" s="165"/>
      <c r="D36" s="165"/>
      <c r="E36" s="165"/>
      <c r="F36" s="165"/>
      <c r="G36" s="165"/>
      <c r="H36" s="165"/>
      <c r="I36" s="165"/>
      <c r="J36" s="165"/>
      <c r="K36" s="165"/>
      <c r="L36" s="165"/>
      <c r="M36" s="165"/>
      <c r="N36" s="165"/>
      <c r="O36" s="165"/>
      <c r="P36" s="165"/>
      <c r="Q36" s="165"/>
      <c r="R36" s="608"/>
      <c r="S36" s="300">
        <v>2</v>
      </c>
      <c r="T36" s="302">
        <v>-2.483667973792905</v>
      </c>
      <c r="U36" s="302">
        <v>-0.10648554462453901</v>
      </c>
      <c r="V36" s="302">
        <v>0.27865804680294659</v>
      </c>
      <c r="W36" s="302">
        <v>-2.3114954716144975</v>
      </c>
    </row>
    <row r="37" spans="2:23">
      <c r="B37" s="165"/>
      <c r="C37" s="165"/>
      <c r="D37" s="165"/>
      <c r="E37" s="165"/>
      <c r="F37" s="165"/>
      <c r="G37" s="165"/>
      <c r="H37" s="165"/>
      <c r="I37" s="165"/>
      <c r="J37" s="165"/>
      <c r="K37" s="165"/>
      <c r="L37" s="165"/>
      <c r="M37" s="165"/>
      <c r="N37" s="165"/>
      <c r="O37" s="165"/>
      <c r="P37" s="165"/>
      <c r="Q37" s="165"/>
      <c r="R37" s="608"/>
      <c r="S37" s="300">
        <v>3</v>
      </c>
      <c r="T37" s="302">
        <v>-2.3704143805640481</v>
      </c>
      <c r="U37" s="302">
        <v>-4.2986412301154395E-2</v>
      </c>
      <c r="V37" s="302">
        <v>1.3354432680552359</v>
      </c>
      <c r="W37" s="302">
        <v>-1.0779575248099666</v>
      </c>
    </row>
    <row r="38" spans="2:23">
      <c r="B38" s="165"/>
      <c r="C38" s="165" t="s">
        <v>552</v>
      </c>
      <c r="D38" s="165"/>
      <c r="E38" s="165"/>
      <c r="F38" s="165"/>
      <c r="G38" s="165"/>
      <c r="H38" s="165"/>
      <c r="I38" s="165"/>
      <c r="J38" s="165"/>
      <c r="K38" s="165"/>
      <c r="L38" s="165"/>
      <c r="M38" s="165"/>
      <c r="N38" s="165"/>
      <c r="O38" s="165"/>
      <c r="P38" s="165"/>
      <c r="Q38" s="165"/>
      <c r="R38" s="608"/>
      <c r="S38" s="300">
        <v>4</v>
      </c>
      <c r="T38" s="302">
        <v>-2.5281338978013155</v>
      </c>
      <c r="U38" s="302">
        <v>7.2229916366079875E-3</v>
      </c>
      <c r="V38" s="302">
        <v>1.6676425271599202</v>
      </c>
      <c r="W38" s="302">
        <v>-0.85326837900478736</v>
      </c>
    </row>
    <row r="39" spans="2:23">
      <c r="B39" s="165"/>
      <c r="C39" s="165" t="s">
        <v>553</v>
      </c>
      <c r="D39" s="165"/>
      <c r="E39" s="165"/>
      <c r="F39" s="165"/>
      <c r="G39" s="165"/>
      <c r="H39" s="165"/>
      <c r="I39" s="165"/>
      <c r="J39" s="165"/>
      <c r="K39" s="165"/>
      <c r="L39" s="165"/>
      <c r="M39" s="165"/>
      <c r="N39" s="165"/>
      <c r="O39" s="165"/>
      <c r="P39" s="165"/>
      <c r="Q39" s="165"/>
      <c r="R39" s="608"/>
      <c r="S39" s="300" t="s">
        <v>487</v>
      </c>
      <c r="T39" s="302">
        <v>-2.6599578989331953</v>
      </c>
      <c r="U39" s="302">
        <v>8.2254256821399294E-2</v>
      </c>
      <c r="V39" s="302">
        <v>-0.39620304469979301</v>
      </c>
      <c r="W39" s="302">
        <v>-2.9739066868115889</v>
      </c>
    </row>
    <row r="40" spans="2:23">
      <c r="B40" s="165"/>
      <c r="C40" s="165" t="s">
        <v>554</v>
      </c>
      <c r="D40" s="165"/>
      <c r="E40" s="165"/>
      <c r="F40" s="165"/>
      <c r="G40" s="165"/>
      <c r="H40" s="165"/>
      <c r="I40" s="165"/>
      <c r="J40" s="165"/>
      <c r="K40" s="165"/>
      <c r="L40" s="165"/>
      <c r="M40" s="165"/>
      <c r="N40" s="165"/>
      <c r="O40" s="165"/>
      <c r="P40" s="165"/>
      <c r="Q40" s="165"/>
    </row>
    <row r="41" spans="2:23">
      <c r="B41" s="165"/>
      <c r="C41" s="165" t="s">
        <v>555</v>
      </c>
      <c r="D41" s="165"/>
      <c r="E41" s="165"/>
      <c r="F41" s="165"/>
      <c r="G41" s="165"/>
      <c r="H41" s="165"/>
      <c r="I41" s="165"/>
      <c r="J41" s="165"/>
      <c r="K41" s="165"/>
      <c r="L41" s="165"/>
      <c r="M41" s="165"/>
      <c r="N41" s="165"/>
      <c r="O41" s="165"/>
      <c r="P41" s="165"/>
      <c r="Q41" s="165"/>
    </row>
    <row r="42" spans="2:23">
      <c r="B42" s="165"/>
      <c r="C42" s="165"/>
      <c r="D42" s="165"/>
      <c r="E42" s="165"/>
      <c r="F42" s="165"/>
      <c r="G42" s="165"/>
      <c r="H42" s="165"/>
      <c r="I42" s="165"/>
      <c r="J42" s="165"/>
      <c r="K42" s="165"/>
      <c r="L42" s="165"/>
      <c r="M42" s="165"/>
      <c r="N42" s="165"/>
      <c r="O42" s="165"/>
      <c r="P42" s="165"/>
    </row>
  </sheetData>
  <mergeCells count="12">
    <mergeCell ref="R35:R39"/>
    <mergeCell ref="T2:V2"/>
    <mergeCell ref="R4:R8"/>
    <mergeCell ref="S9:V9"/>
    <mergeCell ref="R10:R14"/>
    <mergeCell ref="S15:V15"/>
    <mergeCell ref="R16:R20"/>
    <mergeCell ref="S21:W21"/>
    <mergeCell ref="R23:R27"/>
    <mergeCell ref="S28:W28"/>
    <mergeCell ref="R29:R33"/>
    <mergeCell ref="S34:W34"/>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7628B-9922-4C52-9982-3677C5E76BB7}">
  <dimension ref="B2:AH39"/>
  <sheetViews>
    <sheetView zoomScaleNormal="100" workbookViewId="0">
      <selection activeCell="B88" sqref="B88:K88"/>
    </sheetView>
  </sheetViews>
  <sheetFormatPr defaultRowHeight="12.75"/>
  <cols>
    <col min="25" max="25" width="17.7109375" customWidth="1"/>
    <col min="29" max="32" width="11.7109375" bestFit="1" customWidth="1"/>
    <col min="33" max="33" width="13" bestFit="1" customWidth="1"/>
  </cols>
  <sheetData>
    <row r="2" spans="2:34">
      <c r="B2" s="303" t="s">
        <v>556</v>
      </c>
    </row>
    <row r="3" spans="2:34">
      <c r="B3" s="304" t="s">
        <v>477</v>
      </c>
    </row>
    <row r="4" spans="2:34">
      <c r="B4" s="165"/>
      <c r="C4" s="165"/>
      <c r="D4" s="165"/>
      <c r="E4" s="165"/>
      <c r="F4" s="165"/>
      <c r="G4" s="165"/>
      <c r="H4" s="165"/>
      <c r="I4" s="165"/>
      <c r="J4" s="165"/>
      <c r="K4" s="165"/>
      <c r="L4" s="165"/>
      <c r="M4" s="165"/>
      <c r="N4" s="165"/>
      <c r="O4" s="165"/>
      <c r="P4" s="165"/>
      <c r="Q4" s="165"/>
      <c r="R4" s="165"/>
      <c r="S4" s="165"/>
      <c r="T4" s="165"/>
      <c r="U4" s="165"/>
      <c r="V4" s="165"/>
      <c r="W4" s="165"/>
      <c r="X4" s="165"/>
      <c r="Y4" s="165"/>
    </row>
    <row r="5" spans="2:34">
      <c r="B5" s="165"/>
      <c r="C5" s="165"/>
      <c r="D5" s="165"/>
      <c r="E5" s="165"/>
      <c r="F5" s="165"/>
      <c r="G5" s="165"/>
      <c r="H5" s="165"/>
      <c r="I5" s="165"/>
      <c r="J5" s="165"/>
      <c r="K5" s="165"/>
      <c r="L5" s="165"/>
      <c r="M5" s="165"/>
      <c r="N5" s="165"/>
      <c r="O5" s="165"/>
      <c r="P5" s="165"/>
      <c r="Q5" s="165"/>
      <c r="R5" s="165"/>
      <c r="S5" s="165"/>
      <c r="T5" s="165"/>
      <c r="U5" s="165"/>
      <c r="V5" s="165"/>
      <c r="W5" s="165"/>
      <c r="X5" s="165"/>
      <c r="Y5" s="165"/>
      <c r="AB5" s="609" t="s">
        <v>480</v>
      </c>
      <c r="AC5" s="609"/>
      <c r="AD5" s="609"/>
      <c r="AE5" s="609"/>
      <c r="AF5" s="609"/>
      <c r="AG5" s="609"/>
      <c r="AH5" s="305"/>
    </row>
    <row r="6" spans="2:34">
      <c r="B6" s="165"/>
      <c r="C6" s="165"/>
      <c r="D6" s="165"/>
      <c r="E6" s="165"/>
      <c r="F6" s="165"/>
      <c r="G6" s="165"/>
      <c r="H6" s="165"/>
      <c r="I6" s="165"/>
      <c r="J6" s="165"/>
      <c r="K6" s="165"/>
      <c r="L6" s="165"/>
      <c r="M6" s="165"/>
      <c r="N6" s="165"/>
      <c r="O6" s="165"/>
      <c r="P6" s="165"/>
      <c r="Q6" s="165"/>
      <c r="R6" s="165"/>
      <c r="S6" s="165"/>
      <c r="T6" s="165"/>
      <c r="U6" s="165"/>
      <c r="V6" s="165"/>
      <c r="W6" s="165"/>
      <c r="X6" s="165"/>
      <c r="Y6" s="165"/>
      <c r="AB6" s="268"/>
      <c r="AC6" s="268" t="s">
        <v>484</v>
      </c>
      <c r="AD6" s="268" t="s">
        <v>557</v>
      </c>
      <c r="AE6" s="268" t="s">
        <v>558</v>
      </c>
      <c r="AF6" s="268" t="s">
        <v>559</v>
      </c>
      <c r="AG6" s="268" t="s">
        <v>487</v>
      </c>
      <c r="AH6" s="305"/>
    </row>
    <row r="7" spans="2:34">
      <c r="B7" s="165"/>
      <c r="C7" s="165"/>
      <c r="D7" s="165"/>
      <c r="E7" s="165"/>
      <c r="F7" s="165"/>
      <c r="G7" s="165"/>
      <c r="H7" s="165"/>
      <c r="I7" s="165"/>
      <c r="J7" s="165"/>
      <c r="K7" s="165"/>
      <c r="L7" s="165"/>
      <c r="M7" s="165"/>
      <c r="N7" s="165"/>
      <c r="O7" s="165"/>
      <c r="P7" s="165"/>
      <c r="Q7" s="165"/>
      <c r="R7" s="165"/>
      <c r="S7" s="165"/>
      <c r="T7" s="165"/>
      <c r="U7" s="165"/>
      <c r="V7" s="165"/>
      <c r="W7" s="165"/>
      <c r="X7" s="165"/>
      <c r="Y7" s="165"/>
      <c r="AB7" s="268" t="s">
        <v>489</v>
      </c>
      <c r="AC7" s="275">
        <v>1.6080166489783314</v>
      </c>
      <c r="AD7" s="275">
        <v>1.2956598367614562</v>
      </c>
      <c r="AE7" s="275">
        <v>1.0859469992887185</v>
      </c>
      <c r="AF7" s="275">
        <v>1.3129994106228318</v>
      </c>
      <c r="AG7" s="275">
        <v>0.47085597454664768</v>
      </c>
      <c r="AH7" s="305"/>
    </row>
    <row r="8" spans="2:34">
      <c r="B8" s="165"/>
      <c r="C8" s="165"/>
      <c r="D8" s="165"/>
      <c r="E8" s="165"/>
      <c r="F8" s="165"/>
      <c r="G8" s="165"/>
      <c r="H8" s="165"/>
      <c r="I8" s="165"/>
      <c r="J8" s="165"/>
      <c r="K8" s="165"/>
      <c r="L8" s="165"/>
      <c r="M8" s="165"/>
      <c r="N8" s="165"/>
      <c r="O8" s="165"/>
      <c r="P8" s="165"/>
      <c r="Q8" s="165"/>
      <c r="R8" s="165"/>
      <c r="S8" s="165"/>
      <c r="T8" s="165"/>
      <c r="U8" s="165"/>
      <c r="V8" s="165"/>
      <c r="W8" s="165"/>
      <c r="X8" s="165"/>
      <c r="Y8" s="165"/>
      <c r="AB8" s="268" t="s">
        <v>490</v>
      </c>
      <c r="AC8" s="275">
        <v>7.1495433802593347</v>
      </c>
      <c r="AD8" s="275">
        <v>2.0800876049220558</v>
      </c>
      <c r="AE8" s="275">
        <v>2.228871918852275</v>
      </c>
      <c r="AF8" s="275">
        <v>1.8059391716693938</v>
      </c>
      <c r="AG8" s="275">
        <v>3.1915783329955807</v>
      </c>
      <c r="AH8" s="305"/>
    </row>
    <row r="9" spans="2:34">
      <c r="B9" s="165"/>
      <c r="C9" s="165"/>
      <c r="D9" s="165"/>
      <c r="E9" s="165"/>
      <c r="F9" s="165"/>
      <c r="G9" s="165"/>
      <c r="H9" s="165"/>
      <c r="I9" s="165"/>
      <c r="J9" s="165"/>
      <c r="K9" s="165"/>
      <c r="L9" s="165"/>
      <c r="M9" s="165"/>
      <c r="N9" s="165"/>
      <c r="O9" s="165"/>
      <c r="P9" s="165"/>
      <c r="Q9" s="165"/>
      <c r="R9" s="165"/>
      <c r="S9" s="165"/>
      <c r="T9" s="165"/>
      <c r="U9" s="165"/>
      <c r="V9" s="165"/>
      <c r="W9" s="165"/>
      <c r="X9" s="165"/>
      <c r="Y9" s="165"/>
      <c r="AB9" s="268" t="s">
        <v>491</v>
      </c>
      <c r="AC9" s="275">
        <v>10.836589538966104</v>
      </c>
      <c r="AD9" s="275">
        <v>1.9848508218939138</v>
      </c>
      <c r="AE9" s="275">
        <v>1.8350874212283228</v>
      </c>
      <c r="AF9" s="275">
        <v>1.8156801041573891</v>
      </c>
      <c r="AG9" s="275">
        <v>2.5805356305833431</v>
      </c>
      <c r="AH9" s="305"/>
    </row>
    <row r="10" spans="2:34">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AB10" s="268" t="s">
        <v>492</v>
      </c>
      <c r="AC10" s="275">
        <v>1.8055101975186376</v>
      </c>
      <c r="AD10" s="275">
        <v>2.7913684778088323</v>
      </c>
      <c r="AE10" s="275">
        <v>2.095165903052786</v>
      </c>
      <c r="AF10" s="275">
        <v>1.7494019350312404</v>
      </c>
      <c r="AG10" s="275">
        <v>2.2484788686662727</v>
      </c>
    </row>
    <row r="11" spans="2:34">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AB11" s="268" t="s">
        <v>493</v>
      </c>
      <c r="AC11" s="275">
        <v>0.36183220777788561</v>
      </c>
      <c r="AD11" s="275">
        <v>-2.1425700520487245</v>
      </c>
      <c r="AE11" s="275">
        <v>1.1139458963898226</v>
      </c>
      <c r="AF11" s="275">
        <v>1.1595912012209626</v>
      </c>
      <c r="AG11" s="275">
        <v>0.93374930885008045</v>
      </c>
    </row>
    <row r="12" spans="2:34">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AB12" s="609" t="s">
        <v>481</v>
      </c>
      <c r="AC12" s="609"/>
      <c r="AD12" s="609"/>
      <c r="AE12" s="609"/>
      <c r="AF12" s="609"/>
      <c r="AG12" s="609"/>
    </row>
    <row r="13" spans="2:34">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AB13" s="268" t="s">
        <v>489</v>
      </c>
      <c r="AC13" s="275">
        <v>2.0942378573990847</v>
      </c>
      <c r="AD13" s="275">
        <v>1.95575133501972</v>
      </c>
      <c r="AE13" s="275">
        <v>5.6119622737952763</v>
      </c>
      <c r="AF13" s="275">
        <v>8.0945514747091281</v>
      </c>
      <c r="AG13" s="275">
        <v>9.4946211628816215</v>
      </c>
    </row>
    <row r="14" spans="2:3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AB14" s="268" t="s">
        <v>490</v>
      </c>
      <c r="AC14" s="275">
        <v>2.0983508971646203</v>
      </c>
      <c r="AD14" s="275">
        <v>2.5629451397331011</v>
      </c>
      <c r="AE14" s="275">
        <v>4.0849357643635535</v>
      </c>
      <c r="AF14" s="275">
        <v>6.0873242686751574</v>
      </c>
      <c r="AG14" s="275">
        <v>7.2094809890430103</v>
      </c>
    </row>
    <row r="15" spans="2:34">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AB15" s="268" t="s">
        <v>491</v>
      </c>
      <c r="AC15" s="275">
        <v>5.0071922292239108</v>
      </c>
      <c r="AD15" s="275">
        <v>1.9195568316770346</v>
      </c>
      <c r="AE15" s="275">
        <v>1.4386493708034729</v>
      </c>
      <c r="AF15" s="275">
        <v>2.615386945255934</v>
      </c>
      <c r="AG15" s="275">
        <v>2.9346159434337795</v>
      </c>
    </row>
    <row r="16" spans="2:34">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AB16" s="268" t="s">
        <v>492</v>
      </c>
      <c r="AC16" s="275">
        <v>-2.3255351151977246</v>
      </c>
      <c r="AD16" s="275">
        <v>-1.4226739298800488</v>
      </c>
      <c r="AE16" s="275">
        <v>-0.72830552861760045</v>
      </c>
      <c r="AF16" s="275">
        <v>-1.4465439713364427</v>
      </c>
      <c r="AG16" s="275">
        <v>-4.9571440279280905</v>
      </c>
    </row>
    <row r="17" spans="2:33">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AB17" s="268" t="s">
        <v>493</v>
      </c>
      <c r="AC17" s="275">
        <v>-10.093321920853757</v>
      </c>
      <c r="AD17" s="275">
        <v>-9.4280464736693457</v>
      </c>
      <c r="AE17" s="275">
        <v>-10.427602307795995</v>
      </c>
      <c r="AF17" s="275">
        <v>-10.56288582581592</v>
      </c>
      <c r="AG17" s="275">
        <v>-19.178558576193709</v>
      </c>
    </row>
    <row r="18" spans="2:33">
      <c r="B18" s="165"/>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AB18" s="609" t="s">
        <v>90</v>
      </c>
      <c r="AC18" s="609"/>
      <c r="AD18" s="609"/>
      <c r="AE18" s="609"/>
      <c r="AF18" s="609"/>
      <c r="AG18" s="609"/>
    </row>
    <row r="19" spans="2:33">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AB19" s="268" t="s">
        <v>489</v>
      </c>
      <c r="AC19" s="275">
        <v>1.0129677857829602</v>
      </c>
      <c r="AD19" s="275">
        <v>3.1444081814988207</v>
      </c>
      <c r="AE19" s="275">
        <v>6.1432360854076169</v>
      </c>
      <c r="AF19" s="275">
        <v>6.7715373092660753</v>
      </c>
      <c r="AG19" s="275">
        <v>11.87971414957482</v>
      </c>
    </row>
    <row r="20" spans="2:33">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AB20" s="268" t="s">
        <v>490</v>
      </c>
      <c r="AC20" s="275">
        <v>1.6520926930994682</v>
      </c>
      <c r="AD20" s="275">
        <v>2.7997745885526908</v>
      </c>
      <c r="AE20" s="275">
        <v>4.5315929445578007</v>
      </c>
      <c r="AF20" s="275">
        <v>5.7879073610438088</v>
      </c>
      <c r="AG20" s="275">
        <v>10.721364255064502</v>
      </c>
    </row>
    <row r="21" spans="2:33">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AB21" s="268" t="s">
        <v>491</v>
      </c>
      <c r="AC21" s="275">
        <v>0.66388486414632908</v>
      </c>
      <c r="AD21" s="275">
        <v>1.7329399840358615</v>
      </c>
      <c r="AE21" s="275">
        <v>2.213941173711325</v>
      </c>
      <c r="AF21" s="275">
        <v>2.0587716293652067</v>
      </c>
      <c r="AG21" s="275">
        <v>2.8402596278754042</v>
      </c>
    </row>
    <row r="22" spans="2:33">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AB22" s="268" t="s">
        <v>492</v>
      </c>
      <c r="AC22" s="275">
        <v>-2.1291799746328439</v>
      </c>
      <c r="AD22" s="275">
        <v>-1.21420464631636</v>
      </c>
      <c r="AE22" s="275">
        <v>-1.5290072013455371</v>
      </c>
      <c r="AF22" s="275">
        <v>-1.4223547879317815</v>
      </c>
      <c r="AG22" s="275">
        <v>-3.0852288080348913</v>
      </c>
    </row>
    <row r="23" spans="2:33">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AB23" s="268" t="s">
        <v>493</v>
      </c>
      <c r="AC23" s="275">
        <v>-5.9090317835545223</v>
      </c>
      <c r="AD23" s="275">
        <v>-5.0027068774943428</v>
      </c>
      <c r="AE23" s="275">
        <v>-4.889559831751491</v>
      </c>
      <c r="AF23" s="275">
        <v>-5.6089826000995497</v>
      </c>
      <c r="AG23" s="275">
        <v>-12.863408998459583</v>
      </c>
    </row>
    <row r="24" spans="2:33">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2:33">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2:33">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2:33">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2:33">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2:33">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2:33">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2:33">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2:33">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2:2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2:25">
      <c r="B34" s="165"/>
      <c r="C34" s="165" t="s">
        <v>552</v>
      </c>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2:25">
      <c r="B35" s="165"/>
      <c r="C35" s="165" t="s">
        <v>560</v>
      </c>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2:25">
      <c r="B36" s="165"/>
      <c r="C36" s="165" t="s">
        <v>561</v>
      </c>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2:25">
      <c r="B37" s="165"/>
      <c r="C37" s="165" t="s">
        <v>562</v>
      </c>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2:25">
      <c r="B38" s="165"/>
      <c r="C38" s="165" t="s">
        <v>563</v>
      </c>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2:2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sheetData>
  <mergeCells count="3">
    <mergeCell ref="AB5:AG5"/>
    <mergeCell ref="AB12:AG12"/>
    <mergeCell ref="AB18:AG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7EC1E-ED58-42FC-BB0D-BEA678F7701B}">
  <dimension ref="B2:Y55"/>
  <sheetViews>
    <sheetView zoomScaleNormal="100" workbookViewId="0">
      <selection activeCell="B88" sqref="B88:K88"/>
    </sheetView>
  </sheetViews>
  <sheetFormatPr defaultRowHeight="12.75"/>
  <cols>
    <col min="20" max="20" width="9.7109375" customWidth="1"/>
    <col min="21" max="21" width="16.7109375" bestFit="1" customWidth="1"/>
    <col min="22" max="22" width="16.28515625" bestFit="1" customWidth="1"/>
    <col min="23" max="23" width="20.28515625" bestFit="1" customWidth="1"/>
    <col min="24" max="24" width="19.7109375" bestFit="1" customWidth="1"/>
    <col min="25" max="26" width="23.28515625" customWidth="1"/>
    <col min="27" max="27" width="18.28515625" customWidth="1"/>
    <col min="28" max="28" width="15.28515625" customWidth="1"/>
    <col min="29" max="29" width="15" customWidth="1"/>
    <col min="30" max="30" width="11.28515625" bestFit="1" customWidth="1"/>
  </cols>
  <sheetData>
    <row r="2" spans="2:25">
      <c r="B2" s="303" t="s">
        <v>564</v>
      </c>
    </row>
    <row r="3" spans="2:25">
      <c r="B3" s="304" t="s">
        <v>225</v>
      </c>
      <c r="Y3" s="295"/>
    </row>
    <row r="4" spans="2:25">
      <c r="Y4" s="295"/>
    </row>
    <row r="5" spans="2:25">
      <c r="B5" s="165"/>
      <c r="C5" s="165"/>
      <c r="D5" s="165"/>
      <c r="E5" s="165"/>
      <c r="F5" s="165"/>
      <c r="G5" s="165"/>
      <c r="H5" s="165"/>
      <c r="I5" s="165"/>
      <c r="J5" s="165"/>
      <c r="K5" s="165"/>
      <c r="L5" s="165"/>
      <c r="M5" s="165"/>
      <c r="N5" s="165"/>
      <c r="O5" s="165"/>
      <c r="P5" s="165"/>
      <c r="Q5" s="165"/>
      <c r="R5" s="165"/>
      <c r="S5" s="165"/>
      <c r="U5" s="268"/>
      <c r="V5" s="306" t="s">
        <v>565</v>
      </c>
      <c r="W5" s="306" t="s">
        <v>566</v>
      </c>
      <c r="X5" s="306" t="s">
        <v>567</v>
      </c>
      <c r="Y5" s="306" t="s">
        <v>568</v>
      </c>
    </row>
    <row r="6" spans="2:25">
      <c r="B6" s="165"/>
      <c r="C6" s="165"/>
      <c r="D6" s="165"/>
      <c r="E6" s="165"/>
      <c r="F6" s="165"/>
      <c r="G6" s="165"/>
      <c r="H6" s="165"/>
      <c r="I6" s="165"/>
      <c r="J6" s="165"/>
      <c r="K6" s="165"/>
      <c r="L6" s="165"/>
      <c r="M6" s="165"/>
      <c r="N6" s="165"/>
      <c r="O6" s="165"/>
      <c r="P6" s="165"/>
      <c r="Q6" s="165"/>
      <c r="R6" s="165"/>
      <c r="S6" s="165"/>
      <c r="U6" s="268" t="s">
        <v>480</v>
      </c>
      <c r="V6" s="307">
        <v>0.15860646963119507</v>
      </c>
      <c r="W6" s="307">
        <v>-0.17434358596801758</v>
      </c>
      <c r="X6" s="307">
        <v>0.58846771717071533</v>
      </c>
      <c r="Y6" s="307">
        <v>0.76090693473815918</v>
      </c>
    </row>
    <row r="7" spans="2:25">
      <c r="B7" s="165"/>
      <c r="C7" s="165"/>
      <c r="D7" s="165"/>
      <c r="E7" s="165"/>
      <c r="F7" s="165"/>
      <c r="G7" s="165"/>
      <c r="H7" s="165"/>
      <c r="I7" s="165"/>
      <c r="J7" s="165"/>
      <c r="K7" s="165"/>
      <c r="L7" s="165"/>
      <c r="M7" s="165"/>
      <c r="N7" s="165"/>
      <c r="O7" s="165"/>
      <c r="P7" s="165"/>
      <c r="Q7" s="165"/>
      <c r="R7" s="165"/>
      <c r="S7" s="165"/>
      <c r="U7" s="268" t="s">
        <v>481</v>
      </c>
      <c r="V7" s="307">
        <v>0.64565800130367279</v>
      </c>
      <c r="W7" s="307">
        <v>0.64160246402025223</v>
      </c>
      <c r="X7" s="307">
        <v>0.75150560587644577</v>
      </c>
      <c r="Y7" s="307">
        <v>0.81938803195953369</v>
      </c>
    </row>
    <row r="8" spans="2:25">
      <c r="B8" s="165"/>
      <c r="C8" s="165"/>
      <c r="D8" s="165"/>
      <c r="E8" s="165"/>
      <c r="F8" s="165"/>
      <c r="G8" s="165"/>
      <c r="H8" s="165"/>
      <c r="I8" s="165"/>
      <c r="J8" s="165"/>
      <c r="K8" s="165"/>
      <c r="L8" s="165"/>
      <c r="M8" s="165"/>
      <c r="N8" s="165"/>
      <c r="O8" s="165"/>
      <c r="P8" s="165"/>
      <c r="Q8" s="165"/>
      <c r="R8" s="165"/>
      <c r="S8" s="165"/>
      <c r="U8" s="268" t="s">
        <v>90</v>
      </c>
      <c r="V8" s="307">
        <v>0.98785683512687683</v>
      </c>
      <c r="W8" s="307">
        <v>0.85383988916873932</v>
      </c>
      <c r="X8" s="307">
        <v>1.0932125151157379</v>
      </c>
      <c r="Y8" s="307">
        <v>1.2141551822423935</v>
      </c>
    </row>
    <row r="9" spans="2:25">
      <c r="B9" s="165"/>
      <c r="C9" s="165"/>
      <c r="D9" s="165"/>
      <c r="E9" s="165"/>
      <c r="F9" s="165"/>
      <c r="G9" s="165"/>
      <c r="H9" s="165"/>
      <c r="I9" s="165"/>
      <c r="J9" s="165"/>
      <c r="K9" s="165"/>
      <c r="L9" s="165"/>
      <c r="M9" s="165"/>
      <c r="N9" s="165"/>
      <c r="O9" s="165"/>
      <c r="P9" s="165"/>
      <c r="Q9" s="165"/>
      <c r="R9" s="165"/>
      <c r="S9" s="165"/>
      <c r="U9" s="268" t="s">
        <v>126</v>
      </c>
      <c r="V9" s="307">
        <v>0.50006508827209473</v>
      </c>
      <c r="W9" s="307">
        <v>0.58097243309020996</v>
      </c>
      <c r="X9" s="307">
        <v>0.86442828178405762</v>
      </c>
      <c r="Y9" s="307">
        <v>0.80938823521137238</v>
      </c>
    </row>
    <row r="10" spans="2:25">
      <c r="B10" s="165"/>
      <c r="C10" s="165"/>
      <c r="D10" s="165"/>
      <c r="E10" s="165"/>
      <c r="F10" s="165"/>
      <c r="H10" s="165"/>
      <c r="I10" s="165"/>
      <c r="J10" s="165"/>
      <c r="K10" s="165"/>
      <c r="L10" s="165"/>
      <c r="M10" s="165"/>
      <c r="N10" s="165"/>
      <c r="O10" s="165"/>
      <c r="P10" s="165"/>
      <c r="Q10" s="165"/>
      <c r="R10" s="165"/>
      <c r="S10" s="165"/>
      <c r="U10" s="268" t="s">
        <v>120</v>
      </c>
      <c r="V10" s="307">
        <v>0.99699199199676514</v>
      </c>
      <c r="W10" s="307">
        <v>0.61705112457275391</v>
      </c>
      <c r="X10" s="307">
        <v>1.8096297979354858</v>
      </c>
      <c r="Y10" s="307">
        <v>1.5138238668441772</v>
      </c>
    </row>
    <row r="11" spans="2:25">
      <c r="B11" s="165"/>
      <c r="C11" s="165"/>
      <c r="D11" s="165"/>
      <c r="E11" s="165"/>
      <c r="F11" s="165"/>
      <c r="G11" s="165"/>
      <c r="H11" s="165"/>
      <c r="I11" s="165"/>
      <c r="J11" s="165"/>
      <c r="K11" s="165"/>
      <c r="L11" s="165"/>
      <c r="M11" s="165"/>
      <c r="N11" s="165"/>
      <c r="O11" s="165"/>
      <c r="P11" s="165"/>
      <c r="Q11" s="165"/>
      <c r="R11" s="165"/>
      <c r="S11" s="165"/>
      <c r="U11" s="268" t="s">
        <v>237</v>
      </c>
      <c r="V11" s="307">
        <v>1.074826717376709</v>
      </c>
      <c r="W11" s="307">
        <v>1.1655330657958984</v>
      </c>
      <c r="X11" s="307">
        <v>1.4854907989501953</v>
      </c>
      <c r="Y11" s="307">
        <v>1.2385904788970947</v>
      </c>
    </row>
    <row r="12" spans="2:25">
      <c r="B12" s="165"/>
      <c r="C12" s="165"/>
      <c r="D12" s="165"/>
      <c r="E12" s="165"/>
      <c r="F12" s="165"/>
      <c r="G12" s="165"/>
      <c r="H12" s="165"/>
      <c r="I12" s="165"/>
      <c r="J12" s="165"/>
      <c r="K12" s="165"/>
      <c r="L12" s="165"/>
      <c r="M12" s="165"/>
      <c r="N12" s="165"/>
      <c r="O12" s="165"/>
      <c r="P12" s="165"/>
      <c r="Q12" s="165"/>
      <c r="R12" s="165"/>
      <c r="S12" s="165"/>
    </row>
    <row r="13" spans="2:25">
      <c r="B13" s="165"/>
      <c r="C13" s="165"/>
      <c r="D13" s="165"/>
      <c r="E13" s="165"/>
      <c r="F13" s="165"/>
      <c r="G13" s="165"/>
      <c r="H13" s="165"/>
      <c r="I13" s="165"/>
      <c r="J13" s="165"/>
      <c r="K13" s="165"/>
      <c r="L13" s="165"/>
      <c r="M13" s="165"/>
      <c r="N13" s="165"/>
      <c r="O13" s="165"/>
      <c r="P13" s="165"/>
      <c r="Q13" s="165"/>
      <c r="R13" s="165"/>
      <c r="S13" s="165"/>
    </row>
    <row r="14" spans="2:25">
      <c r="B14" s="165"/>
      <c r="C14" s="165"/>
      <c r="D14" s="165"/>
      <c r="E14" s="165"/>
      <c r="F14" s="165"/>
      <c r="G14" s="165"/>
      <c r="H14" s="165"/>
      <c r="I14" s="165"/>
      <c r="J14" s="165"/>
      <c r="K14" s="165"/>
      <c r="L14" s="165"/>
      <c r="M14" s="165"/>
      <c r="N14" s="165"/>
      <c r="O14" s="165"/>
      <c r="P14" s="165"/>
      <c r="Q14" s="165"/>
      <c r="R14" s="165"/>
      <c r="S14" s="165"/>
    </row>
    <row r="15" spans="2:25">
      <c r="B15" s="165"/>
      <c r="C15" s="165"/>
      <c r="D15" s="165"/>
      <c r="E15" s="165"/>
      <c r="F15" s="165"/>
      <c r="G15" s="165"/>
      <c r="H15" s="165"/>
      <c r="I15" s="165"/>
      <c r="J15" s="165"/>
      <c r="K15" s="165"/>
      <c r="L15" s="165"/>
      <c r="M15" s="165"/>
      <c r="N15" s="165"/>
      <c r="O15" s="165"/>
      <c r="P15" s="165"/>
      <c r="Q15" s="165"/>
      <c r="R15" s="165"/>
      <c r="S15" s="165"/>
    </row>
    <row r="16" spans="2:25">
      <c r="B16" s="165"/>
      <c r="C16" s="165"/>
      <c r="D16" s="165"/>
      <c r="E16" s="165"/>
      <c r="F16" s="165"/>
      <c r="G16" s="165"/>
      <c r="H16" s="165"/>
      <c r="I16" s="165"/>
      <c r="J16" s="165"/>
      <c r="K16" s="165"/>
      <c r="L16" s="165"/>
      <c r="M16" s="165"/>
      <c r="N16" s="165"/>
      <c r="O16" s="165"/>
      <c r="P16" s="165"/>
      <c r="Q16" s="165"/>
      <c r="R16" s="165"/>
      <c r="S16" s="165"/>
    </row>
    <row r="17" spans="2:19">
      <c r="B17" s="165"/>
      <c r="C17" s="165"/>
      <c r="D17" s="165"/>
      <c r="E17" s="165"/>
      <c r="F17" s="165"/>
      <c r="G17" s="165"/>
      <c r="H17" s="165"/>
      <c r="I17" s="165"/>
      <c r="J17" s="165"/>
      <c r="K17" s="165"/>
      <c r="L17" s="165"/>
      <c r="M17" s="165"/>
      <c r="N17" s="165"/>
      <c r="O17" s="165"/>
      <c r="P17" s="165"/>
      <c r="Q17" s="165"/>
      <c r="R17" s="165"/>
      <c r="S17" s="165"/>
    </row>
    <row r="18" spans="2:19">
      <c r="B18" s="165"/>
      <c r="C18" s="165"/>
      <c r="D18" s="165"/>
      <c r="E18" s="165"/>
      <c r="F18" s="165"/>
      <c r="G18" s="165"/>
      <c r="H18" s="165"/>
      <c r="I18" s="165"/>
      <c r="J18" s="165"/>
      <c r="K18" s="165"/>
      <c r="L18" s="165"/>
      <c r="M18" s="165"/>
      <c r="N18" s="165"/>
      <c r="O18" s="165"/>
      <c r="P18" s="165"/>
      <c r="Q18" s="165"/>
      <c r="R18" s="165"/>
      <c r="S18" s="165"/>
    </row>
    <row r="19" spans="2:19">
      <c r="B19" s="165"/>
      <c r="C19" s="165"/>
      <c r="D19" s="165"/>
      <c r="E19" s="165"/>
      <c r="F19" s="165"/>
      <c r="G19" s="165"/>
      <c r="H19" s="165"/>
      <c r="I19" s="165"/>
      <c r="J19" s="165"/>
      <c r="K19" s="165"/>
      <c r="L19" s="165"/>
      <c r="M19" s="165"/>
      <c r="N19" s="165"/>
      <c r="O19" s="165"/>
      <c r="P19" s="165"/>
      <c r="Q19" s="165"/>
      <c r="R19" s="165"/>
      <c r="S19" s="165"/>
    </row>
    <row r="20" spans="2:19">
      <c r="B20" s="165"/>
      <c r="C20" s="165"/>
      <c r="D20" s="165"/>
      <c r="E20" s="165"/>
      <c r="F20" s="165"/>
      <c r="G20" s="165"/>
      <c r="H20" s="165"/>
      <c r="I20" s="165"/>
      <c r="J20" s="165"/>
      <c r="K20" s="165"/>
      <c r="L20" s="165"/>
      <c r="M20" s="165"/>
      <c r="N20" s="165"/>
      <c r="O20" s="165"/>
      <c r="P20" s="165"/>
      <c r="Q20" s="165"/>
      <c r="R20" s="165"/>
      <c r="S20" s="165"/>
    </row>
    <row r="21" spans="2:19">
      <c r="B21" s="165"/>
      <c r="C21" s="165"/>
      <c r="D21" s="165"/>
      <c r="E21" s="165"/>
      <c r="F21" s="165"/>
      <c r="G21" s="165"/>
      <c r="H21" s="165"/>
      <c r="I21" s="165"/>
      <c r="J21" s="165"/>
      <c r="K21" s="165"/>
      <c r="L21" s="165"/>
      <c r="M21" s="165"/>
      <c r="N21" s="165"/>
      <c r="O21" s="165"/>
      <c r="P21" s="165"/>
      <c r="Q21" s="165"/>
      <c r="R21" s="165"/>
      <c r="S21" s="165"/>
    </row>
    <row r="22" spans="2:19">
      <c r="B22" s="165"/>
      <c r="C22" s="165"/>
      <c r="D22" s="165"/>
      <c r="E22" s="165"/>
      <c r="F22" s="165"/>
      <c r="G22" s="165"/>
      <c r="H22" s="165"/>
      <c r="I22" s="165"/>
      <c r="J22" s="165"/>
      <c r="K22" s="165"/>
      <c r="L22" s="165"/>
      <c r="M22" s="165"/>
      <c r="N22" s="165"/>
      <c r="O22" s="165"/>
      <c r="P22" s="165"/>
      <c r="Q22" s="165"/>
      <c r="R22" s="165"/>
      <c r="S22" s="165"/>
    </row>
    <row r="23" spans="2:19">
      <c r="B23" s="165"/>
      <c r="C23" s="165"/>
      <c r="D23" s="165"/>
      <c r="E23" s="165"/>
      <c r="F23" s="165"/>
      <c r="G23" s="165"/>
      <c r="H23" s="165"/>
      <c r="I23" s="165"/>
      <c r="J23" s="165"/>
      <c r="K23" s="165"/>
      <c r="L23" s="165"/>
      <c r="M23" s="165"/>
      <c r="N23" s="165"/>
      <c r="O23" s="165"/>
      <c r="P23" s="165"/>
      <c r="Q23" s="165"/>
      <c r="R23" s="165"/>
      <c r="S23" s="165"/>
    </row>
    <row r="24" spans="2:19">
      <c r="B24" s="165"/>
      <c r="C24" s="165"/>
      <c r="D24" s="165"/>
      <c r="E24" s="165"/>
      <c r="F24" s="165"/>
      <c r="G24" s="165"/>
      <c r="H24" s="165"/>
      <c r="I24" s="165"/>
      <c r="J24" s="165"/>
      <c r="K24" s="165"/>
      <c r="L24" s="165"/>
      <c r="M24" s="165"/>
      <c r="N24" s="165"/>
      <c r="O24" s="165"/>
      <c r="P24" s="165"/>
      <c r="Q24" s="165"/>
      <c r="R24" s="165"/>
      <c r="S24" s="165"/>
    </row>
    <row r="25" spans="2:19">
      <c r="B25" s="165"/>
      <c r="C25" s="165"/>
      <c r="D25" s="165"/>
      <c r="E25" s="165"/>
      <c r="F25" s="165"/>
      <c r="G25" s="165"/>
      <c r="H25" s="165"/>
      <c r="I25" s="165"/>
      <c r="J25" s="165"/>
      <c r="K25" s="165"/>
      <c r="L25" s="165"/>
      <c r="M25" s="165"/>
      <c r="N25" s="165"/>
      <c r="O25" s="165"/>
      <c r="P25" s="165"/>
      <c r="Q25" s="165"/>
      <c r="R25" s="165"/>
      <c r="S25" s="165"/>
    </row>
    <row r="26" spans="2:19">
      <c r="B26" s="165"/>
      <c r="C26" s="165"/>
      <c r="D26" s="165"/>
      <c r="E26" s="165"/>
      <c r="F26" s="165"/>
      <c r="G26" s="165"/>
      <c r="H26" s="165"/>
      <c r="I26" s="165"/>
      <c r="J26" s="165"/>
      <c r="K26" s="165"/>
      <c r="L26" s="165"/>
      <c r="M26" s="165"/>
      <c r="N26" s="165"/>
      <c r="O26" s="165"/>
      <c r="P26" s="165"/>
      <c r="Q26" s="165"/>
      <c r="R26" s="165"/>
      <c r="S26" s="165"/>
    </row>
    <row r="27" spans="2:19">
      <c r="B27" s="165"/>
      <c r="C27" s="165"/>
      <c r="D27" s="165"/>
      <c r="E27" s="165"/>
      <c r="F27" s="165"/>
      <c r="G27" s="165"/>
      <c r="H27" s="165"/>
      <c r="I27" s="165"/>
      <c r="J27" s="165"/>
      <c r="K27" s="165"/>
      <c r="L27" s="165"/>
      <c r="M27" s="165"/>
      <c r="N27" s="165"/>
      <c r="O27" s="165"/>
      <c r="P27" s="165"/>
      <c r="Q27" s="165"/>
      <c r="R27" s="165"/>
      <c r="S27" s="165"/>
    </row>
    <row r="28" spans="2:19">
      <c r="B28" s="165"/>
      <c r="C28" s="165"/>
      <c r="D28" s="165"/>
      <c r="E28" s="165"/>
      <c r="F28" s="165"/>
      <c r="G28" s="165"/>
      <c r="H28" s="165"/>
      <c r="I28" s="165"/>
      <c r="J28" s="165"/>
      <c r="K28" s="165"/>
      <c r="L28" s="165"/>
      <c r="M28" s="165"/>
      <c r="N28" s="165"/>
      <c r="O28" s="165"/>
      <c r="P28" s="165"/>
      <c r="Q28" s="165"/>
      <c r="R28" s="165"/>
      <c r="S28" s="165"/>
    </row>
    <row r="29" spans="2:19">
      <c r="B29" s="165"/>
      <c r="C29" s="165"/>
      <c r="D29" s="165"/>
      <c r="E29" s="165"/>
      <c r="F29" s="165"/>
      <c r="G29" s="165"/>
      <c r="H29" s="165"/>
      <c r="I29" s="165"/>
      <c r="J29" s="165"/>
      <c r="K29" s="165"/>
      <c r="L29" s="165"/>
      <c r="M29" s="165"/>
      <c r="N29" s="165"/>
      <c r="O29" s="165"/>
      <c r="P29" s="165"/>
      <c r="Q29" s="165"/>
      <c r="R29" s="165"/>
      <c r="S29" s="165"/>
    </row>
    <row r="30" spans="2:19">
      <c r="B30" s="165"/>
      <c r="C30" s="165"/>
      <c r="D30" s="165"/>
      <c r="E30" s="165"/>
      <c r="F30" s="165"/>
      <c r="G30" s="165"/>
      <c r="H30" s="165"/>
      <c r="I30" s="165"/>
      <c r="J30" s="165"/>
      <c r="K30" s="165"/>
      <c r="L30" s="165"/>
      <c r="M30" s="165"/>
      <c r="N30" s="165"/>
      <c r="O30" s="165"/>
      <c r="P30" s="165"/>
      <c r="Q30" s="165"/>
      <c r="R30" s="165"/>
      <c r="S30" s="165"/>
    </row>
    <row r="31" spans="2:19">
      <c r="B31" s="165"/>
      <c r="C31" s="165"/>
      <c r="D31" s="165"/>
      <c r="E31" s="165"/>
      <c r="F31" s="165"/>
      <c r="G31" s="165"/>
      <c r="H31" s="165"/>
      <c r="I31" s="165"/>
      <c r="J31" s="165"/>
      <c r="K31" s="165"/>
      <c r="L31" s="165"/>
      <c r="M31" s="165"/>
      <c r="N31" s="165"/>
      <c r="O31" s="165"/>
      <c r="P31" s="165"/>
      <c r="Q31" s="165"/>
      <c r="R31" s="165"/>
      <c r="S31" s="165"/>
    </row>
    <row r="32" spans="2:19">
      <c r="B32" s="165"/>
      <c r="C32" s="165"/>
      <c r="D32" s="165"/>
      <c r="E32" s="165"/>
      <c r="F32" s="165"/>
      <c r="G32" s="165"/>
      <c r="H32" s="165"/>
      <c r="I32" s="165"/>
      <c r="J32" s="165"/>
      <c r="K32" s="165"/>
      <c r="L32" s="165"/>
      <c r="M32" s="165"/>
      <c r="N32" s="165"/>
      <c r="O32" s="165"/>
      <c r="P32" s="165"/>
      <c r="Q32" s="165"/>
      <c r="R32" s="165"/>
      <c r="S32" s="165"/>
    </row>
    <row r="33" spans="2:19">
      <c r="B33" s="165"/>
      <c r="C33" s="165"/>
      <c r="D33" s="165"/>
      <c r="E33" s="165"/>
      <c r="F33" s="165"/>
      <c r="G33" s="165"/>
      <c r="H33" s="165"/>
      <c r="I33" s="165"/>
      <c r="J33" s="165"/>
      <c r="K33" s="165"/>
      <c r="L33" s="165"/>
      <c r="M33" s="165"/>
      <c r="N33" s="165"/>
      <c r="O33" s="165"/>
      <c r="P33" s="165"/>
      <c r="Q33" s="165"/>
      <c r="R33" s="165"/>
      <c r="S33" s="165"/>
    </row>
    <row r="34" spans="2:19">
      <c r="B34" s="165"/>
      <c r="C34" s="165"/>
      <c r="D34" s="165"/>
      <c r="E34" s="165"/>
      <c r="F34" s="165"/>
      <c r="G34" s="165"/>
      <c r="H34" s="165"/>
      <c r="I34" s="165"/>
      <c r="J34" s="165"/>
      <c r="K34" s="165"/>
      <c r="L34" s="165"/>
      <c r="M34" s="165"/>
      <c r="N34" s="165"/>
      <c r="O34" s="165"/>
      <c r="P34" s="165"/>
      <c r="Q34" s="165"/>
      <c r="R34" s="165"/>
      <c r="S34" s="165"/>
    </row>
    <row r="35" spans="2:19">
      <c r="B35" s="165"/>
      <c r="C35" s="165"/>
      <c r="D35" s="165"/>
      <c r="E35" s="165"/>
      <c r="F35" s="165"/>
      <c r="G35" s="165"/>
      <c r="H35" s="165"/>
      <c r="I35" s="165"/>
      <c r="J35" s="165"/>
      <c r="K35" s="165"/>
      <c r="L35" s="165"/>
      <c r="M35" s="165"/>
      <c r="N35" s="165"/>
      <c r="O35" s="165"/>
      <c r="P35" s="165"/>
      <c r="Q35" s="165"/>
      <c r="R35" s="165"/>
      <c r="S35" s="165"/>
    </row>
    <row r="36" spans="2:19">
      <c r="B36" s="165"/>
      <c r="C36" s="165"/>
      <c r="D36" s="165"/>
      <c r="E36" s="165"/>
      <c r="F36" s="165"/>
      <c r="G36" s="165"/>
      <c r="H36" s="165"/>
      <c r="I36" s="165"/>
      <c r="J36" s="165"/>
      <c r="K36" s="165"/>
      <c r="L36" s="165"/>
      <c r="M36" s="165"/>
      <c r="N36" s="165"/>
      <c r="O36" s="165"/>
      <c r="P36" s="165"/>
      <c r="Q36" s="165"/>
      <c r="R36" s="165"/>
      <c r="S36" s="165"/>
    </row>
    <row r="37" spans="2:19">
      <c r="B37" s="165"/>
      <c r="C37" s="165"/>
      <c r="D37" s="165"/>
      <c r="E37" s="165"/>
      <c r="F37" s="165"/>
      <c r="G37" s="165"/>
      <c r="H37" s="165"/>
      <c r="I37" s="165"/>
      <c r="J37" s="165"/>
      <c r="K37" s="165"/>
      <c r="L37" s="165"/>
      <c r="M37" s="165"/>
      <c r="N37" s="165"/>
      <c r="O37" s="165"/>
      <c r="P37" s="165"/>
      <c r="Q37" s="165"/>
      <c r="R37" s="165"/>
      <c r="S37" s="165"/>
    </row>
    <row r="38" spans="2:19">
      <c r="B38" s="165"/>
      <c r="C38" s="165"/>
      <c r="D38" s="165"/>
      <c r="E38" s="165"/>
      <c r="F38" s="165"/>
      <c r="G38" s="165"/>
      <c r="H38" s="165"/>
      <c r="I38" s="165"/>
      <c r="J38" s="165"/>
      <c r="K38" s="165"/>
      <c r="L38" s="165"/>
      <c r="M38" s="165"/>
      <c r="N38" s="165"/>
      <c r="O38" s="165"/>
      <c r="P38" s="165"/>
      <c r="Q38" s="165"/>
      <c r="R38" s="165"/>
      <c r="S38" s="165"/>
    </row>
    <row r="39" spans="2:19">
      <c r="B39" s="165"/>
      <c r="C39" s="165"/>
      <c r="D39" s="165"/>
      <c r="E39" s="165"/>
      <c r="F39" s="165"/>
      <c r="G39" s="165"/>
      <c r="H39" s="165"/>
      <c r="I39" s="165"/>
      <c r="J39" s="165"/>
      <c r="K39" s="165"/>
      <c r="L39" s="165"/>
      <c r="M39" s="165"/>
      <c r="N39" s="165"/>
      <c r="O39" s="165"/>
      <c r="P39" s="165"/>
      <c r="Q39" s="165"/>
      <c r="R39" s="165"/>
      <c r="S39" s="165"/>
    </row>
    <row r="40" spans="2:19">
      <c r="B40" s="165"/>
      <c r="C40" s="165"/>
      <c r="D40" s="165"/>
      <c r="E40" s="165"/>
      <c r="F40" s="165"/>
      <c r="G40" s="165"/>
      <c r="H40" s="165"/>
      <c r="I40" s="165"/>
      <c r="J40" s="165"/>
      <c r="K40" s="165"/>
      <c r="L40" s="165"/>
      <c r="M40" s="165"/>
      <c r="N40" s="165"/>
      <c r="O40" s="165"/>
      <c r="P40" s="165"/>
      <c r="Q40" s="165"/>
      <c r="R40" s="165"/>
      <c r="S40" s="165"/>
    </row>
    <row r="41" spans="2:19">
      <c r="B41" s="165"/>
      <c r="C41" s="165"/>
      <c r="D41" s="165"/>
      <c r="E41" s="165"/>
      <c r="F41" s="165"/>
      <c r="G41" s="165"/>
      <c r="H41" s="165"/>
      <c r="I41" s="165"/>
      <c r="J41" s="165"/>
      <c r="K41" s="165"/>
      <c r="L41" s="165"/>
      <c r="M41" s="165"/>
      <c r="N41" s="165"/>
      <c r="O41" s="165"/>
      <c r="P41" s="165"/>
      <c r="Q41" s="165"/>
      <c r="R41" s="165"/>
      <c r="S41" s="165"/>
    </row>
    <row r="42" spans="2:19">
      <c r="B42" s="165"/>
      <c r="C42" s="165"/>
      <c r="D42" s="165"/>
      <c r="E42" s="165"/>
      <c r="F42" s="165"/>
      <c r="G42" s="165"/>
      <c r="H42" s="165"/>
      <c r="I42" s="165"/>
      <c r="J42" s="165"/>
      <c r="K42" s="165"/>
      <c r="L42" s="165"/>
      <c r="M42" s="165"/>
      <c r="N42" s="165"/>
      <c r="O42" s="165"/>
      <c r="P42" s="165"/>
      <c r="Q42" s="165"/>
      <c r="R42" s="165"/>
      <c r="S42" s="165"/>
    </row>
    <row r="43" spans="2:19">
      <c r="B43" s="165"/>
      <c r="C43" s="165" t="s">
        <v>569</v>
      </c>
      <c r="D43" s="165"/>
      <c r="E43" s="165"/>
      <c r="F43" s="165"/>
      <c r="G43" s="165"/>
      <c r="H43" s="165"/>
      <c r="I43" s="165"/>
      <c r="J43" s="165"/>
      <c r="K43" s="165"/>
      <c r="L43" s="165"/>
      <c r="M43" s="165"/>
      <c r="N43" s="165"/>
      <c r="O43" s="165"/>
      <c r="P43" s="165"/>
      <c r="Q43" s="165"/>
      <c r="R43" s="165"/>
      <c r="S43" s="165"/>
    </row>
    <row r="44" spans="2:19">
      <c r="B44" s="165"/>
      <c r="C44" s="165" t="s">
        <v>570</v>
      </c>
      <c r="D44" s="165"/>
      <c r="E44" s="165"/>
      <c r="F44" s="165"/>
      <c r="G44" s="165"/>
      <c r="H44" s="165"/>
      <c r="I44" s="165"/>
      <c r="J44" s="165"/>
      <c r="K44" s="165"/>
      <c r="L44" s="165"/>
      <c r="M44" s="165"/>
      <c r="N44" s="165"/>
      <c r="O44" s="165"/>
      <c r="P44" s="165"/>
      <c r="Q44" s="165"/>
      <c r="R44" s="165"/>
      <c r="S44" s="165"/>
    </row>
    <row r="45" spans="2:19">
      <c r="B45" s="165"/>
      <c r="C45" s="165" t="s">
        <v>571</v>
      </c>
      <c r="D45" s="165"/>
      <c r="E45" s="165"/>
      <c r="F45" s="165"/>
      <c r="G45" s="165"/>
      <c r="H45" s="165"/>
      <c r="I45" s="165"/>
      <c r="J45" s="165"/>
      <c r="K45" s="165"/>
      <c r="L45" s="165"/>
      <c r="M45" s="165"/>
      <c r="N45" s="165"/>
      <c r="O45" s="165"/>
      <c r="P45" s="165"/>
      <c r="Q45" s="165"/>
      <c r="R45" s="165"/>
      <c r="S45" s="165"/>
    </row>
    <row r="46" spans="2:19">
      <c r="B46" s="165"/>
      <c r="C46" s="165" t="s">
        <v>572</v>
      </c>
      <c r="D46" s="165"/>
      <c r="E46" s="165"/>
      <c r="F46" s="165"/>
      <c r="G46" s="165"/>
      <c r="H46" s="165"/>
      <c r="I46" s="165"/>
      <c r="J46" s="165"/>
      <c r="K46" s="165"/>
      <c r="L46" s="165"/>
      <c r="M46" s="165"/>
      <c r="N46" s="165"/>
      <c r="O46" s="165"/>
      <c r="P46" s="165"/>
      <c r="Q46" s="165"/>
      <c r="R46" s="165"/>
      <c r="S46" s="165"/>
    </row>
    <row r="47" spans="2:19">
      <c r="B47" s="165"/>
      <c r="C47" s="165" t="s">
        <v>573</v>
      </c>
      <c r="D47" s="165"/>
      <c r="E47" s="165"/>
      <c r="F47" s="165"/>
      <c r="G47" s="165"/>
      <c r="H47" s="165"/>
      <c r="I47" s="165"/>
      <c r="J47" s="165"/>
      <c r="K47" s="165"/>
      <c r="L47" s="165"/>
      <c r="M47" s="165"/>
      <c r="N47" s="165"/>
      <c r="O47" s="165"/>
      <c r="P47" s="165"/>
      <c r="Q47" s="165"/>
      <c r="R47" s="165"/>
      <c r="S47" s="165"/>
    </row>
    <row r="48" spans="2:19">
      <c r="B48" s="165"/>
      <c r="C48" s="165"/>
      <c r="D48" s="165"/>
      <c r="E48" s="165"/>
      <c r="F48" s="165"/>
      <c r="G48" s="165"/>
      <c r="H48" s="165"/>
      <c r="I48" s="165"/>
      <c r="J48" s="165"/>
      <c r="K48" s="165"/>
      <c r="L48" s="165"/>
      <c r="M48" s="165"/>
      <c r="N48" s="165"/>
      <c r="O48" s="165"/>
      <c r="P48" s="165"/>
      <c r="Q48" s="165"/>
      <c r="R48" s="165"/>
      <c r="S48" s="165"/>
    </row>
    <row r="49" spans="2:19">
      <c r="B49" s="165"/>
      <c r="C49" s="165"/>
      <c r="D49" s="165"/>
      <c r="E49" s="165"/>
      <c r="F49" s="165"/>
      <c r="G49" s="165"/>
      <c r="H49" s="165"/>
      <c r="I49" s="165"/>
      <c r="J49" s="165"/>
      <c r="K49" s="165"/>
      <c r="L49" s="165"/>
      <c r="M49" s="165"/>
      <c r="N49" s="165"/>
      <c r="O49" s="165"/>
      <c r="P49" s="165"/>
      <c r="Q49" s="165"/>
      <c r="R49" s="165"/>
      <c r="S49" s="165"/>
    </row>
    <row r="50" spans="2:19">
      <c r="B50" s="165"/>
      <c r="C50" s="165"/>
      <c r="D50" s="165"/>
      <c r="E50" s="165"/>
      <c r="F50" s="165"/>
      <c r="G50" s="165"/>
      <c r="H50" s="165"/>
      <c r="I50" s="165"/>
      <c r="J50" s="165"/>
      <c r="K50" s="165"/>
      <c r="L50" s="165"/>
      <c r="M50" s="165"/>
      <c r="N50" s="165"/>
      <c r="O50" s="165"/>
      <c r="P50" s="165"/>
      <c r="Q50" s="165"/>
      <c r="R50" s="165"/>
      <c r="S50" s="165"/>
    </row>
    <row r="51" spans="2:19">
      <c r="B51" s="165"/>
      <c r="C51" s="165"/>
      <c r="D51" s="165"/>
      <c r="E51" s="165"/>
      <c r="F51" s="165"/>
      <c r="G51" s="165"/>
      <c r="H51" s="165"/>
      <c r="I51" s="165"/>
      <c r="J51" s="165"/>
      <c r="K51" s="165"/>
      <c r="L51" s="165"/>
      <c r="M51" s="165"/>
      <c r="N51" s="165"/>
      <c r="O51" s="165"/>
      <c r="P51" s="165"/>
      <c r="Q51" s="165"/>
      <c r="R51" s="165"/>
      <c r="S51" s="165"/>
    </row>
    <row r="52" spans="2:19">
      <c r="B52" s="165"/>
      <c r="C52" s="165"/>
      <c r="D52" s="165"/>
      <c r="E52" s="165"/>
      <c r="F52" s="165"/>
      <c r="G52" s="165"/>
      <c r="H52" s="165"/>
      <c r="I52" s="165"/>
      <c r="J52" s="165"/>
      <c r="K52" s="165"/>
      <c r="L52" s="165"/>
      <c r="M52" s="165"/>
      <c r="N52" s="165"/>
      <c r="O52" s="165"/>
      <c r="P52" s="165"/>
      <c r="Q52" s="165"/>
      <c r="R52" s="165"/>
      <c r="S52" s="165"/>
    </row>
    <row r="53" spans="2:19">
      <c r="B53" s="165"/>
      <c r="C53" s="165"/>
      <c r="D53" s="165"/>
      <c r="E53" s="165"/>
      <c r="F53" s="165"/>
      <c r="G53" s="165"/>
      <c r="H53" s="165"/>
      <c r="I53" s="165"/>
      <c r="J53" s="165"/>
      <c r="K53" s="165"/>
      <c r="L53" s="165"/>
      <c r="M53" s="165"/>
      <c r="N53" s="165"/>
      <c r="O53" s="165"/>
      <c r="P53" s="165"/>
      <c r="Q53" s="165"/>
      <c r="R53" s="165"/>
      <c r="S53" s="165"/>
    </row>
    <row r="54" spans="2:19">
      <c r="B54" s="165"/>
      <c r="C54" s="165"/>
      <c r="D54" s="165"/>
      <c r="E54" s="165"/>
      <c r="F54" s="165"/>
      <c r="G54" s="165"/>
      <c r="H54" s="165"/>
      <c r="I54" s="165"/>
      <c r="J54" s="165"/>
      <c r="K54" s="165"/>
      <c r="L54" s="165"/>
      <c r="M54" s="165"/>
      <c r="N54" s="165"/>
      <c r="O54" s="165"/>
      <c r="P54" s="165"/>
      <c r="Q54" s="165"/>
      <c r="R54" s="165"/>
      <c r="S54" s="165"/>
    </row>
    <row r="55" spans="2:19">
      <c r="B55" s="165"/>
      <c r="C55" s="165"/>
      <c r="D55" s="165"/>
      <c r="E55" s="165"/>
      <c r="F55" s="165"/>
      <c r="G55" s="165"/>
      <c r="H55" s="165"/>
      <c r="I55" s="165"/>
      <c r="J55" s="165"/>
      <c r="K55" s="165"/>
      <c r="L55" s="165"/>
      <c r="M55" s="165"/>
      <c r="N55" s="165"/>
      <c r="O55" s="165"/>
      <c r="P55" s="165"/>
      <c r="Q55" s="165"/>
      <c r="R55" s="165"/>
      <c r="S55" s="165"/>
    </row>
  </sheetData>
  <pageMargins left="0.7" right="0.7" top="0.75" bottom="0.75" header="0.3" footer="0.3"/>
  <pageSetup orientation="portrait" horizontalDpi="90" verticalDpi="9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F799-2E8E-4CC0-B9E2-CF149A1A6A62}">
  <dimension ref="A1:AE33"/>
  <sheetViews>
    <sheetView zoomScaleNormal="100" workbookViewId="0">
      <selection activeCell="B88" sqref="B88:K88"/>
    </sheetView>
  </sheetViews>
  <sheetFormatPr defaultColWidth="9.140625" defaultRowHeight="12.75"/>
  <cols>
    <col min="1" max="261" width="9.140625" style="273"/>
    <col min="262" max="262" width="4.28515625" style="273" customWidth="1"/>
    <col min="263" max="517" width="9.140625" style="273"/>
    <col min="518" max="518" width="4.28515625" style="273" customWidth="1"/>
    <col min="519" max="773" width="9.140625" style="273"/>
    <col min="774" max="774" width="4.28515625" style="273" customWidth="1"/>
    <col min="775" max="1029" width="9.140625" style="273"/>
    <col min="1030" max="1030" width="4.28515625" style="273" customWidth="1"/>
    <col min="1031" max="1285" width="9.140625" style="273"/>
    <col min="1286" max="1286" width="4.28515625" style="273" customWidth="1"/>
    <col min="1287" max="1541" width="9.140625" style="273"/>
    <col min="1542" max="1542" width="4.28515625" style="273" customWidth="1"/>
    <col min="1543" max="1797" width="9.140625" style="273"/>
    <col min="1798" max="1798" width="4.28515625" style="273" customWidth="1"/>
    <col min="1799" max="2053" width="9.140625" style="273"/>
    <col min="2054" max="2054" width="4.28515625" style="273" customWidth="1"/>
    <col min="2055" max="2309" width="9.140625" style="273"/>
    <col min="2310" max="2310" width="4.28515625" style="273" customWidth="1"/>
    <col min="2311" max="2565" width="9.140625" style="273"/>
    <col min="2566" max="2566" width="4.28515625" style="273" customWidth="1"/>
    <col min="2567" max="2821" width="9.140625" style="273"/>
    <col min="2822" max="2822" width="4.28515625" style="273" customWidth="1"/>
    <col min="2823" max="3077" width="9.140625" style="273"/>
    <col min="3078" max="3078" width="4.28515625" style="273" customWidth="1"/>
    <col min="3079" max="3333" width="9.140625" style="273"/>
    <col min="3334" max="3334" width="4.28515625" style="273" customWidth="1"/>
    <col min="3335" max="3589" width="9.140625" style="273"/>
    <col min="3590" max="3590" width="4.28515625" style="273" customWidth="1"/>
    <col min="3591" max="3845" width="9.140625" style="273"/>
    <col min="3846" max="3846" width="4.28515625" style="273" customWidth="1"/>
    <col min="3847" max="4101" width="9.140625" style="273"/>
    <col min="4102" max="4102" width="4.28515625" style="273" customWidth="1"/>
    <col min="4103" max="4357" width="9.140625" style="273"/>
    <col min="4358" max="4358" width="4.28515625" style="273" customWidth="1"/>
    <col min="4359" max="4613" width="9.140625" style="273"/>
    <col min="4614" max="4614" width="4.28515625" style="273" customWidth="1"/>
    <col min="4615" max="4869" width="9.140625" style="273"/>
    <col min="4870" max="4870" width="4.28515625" style="273" customWidth="1"/>
    <col min="4871" max="5125" width="9.140625" style="273"/>
    <col min="5126" max="5126" width="4.28515625" style="273" customWidth="1"/>
    <col min="5127" max="5381" width="9.140625" style="273"/>
    <col min="5382" max="5382" width="4.28515625" style="273" customWidth="1"/>
    <col min="5383" max="5637" width="9.140625" style="273"/>
    <col min="5638" max="5638" width="4.28515625" style="273" customWidth="1"/>
    <col min="5639" max="5893" width="9.140625" style="273"/>
    <col min="5894" max="5894" width="4.28515625" style="273" customWidth="1"/>
    <col min="5895" max="6149" width="9.140625" style="273"/>
    <col min="6150" max="6150" width="4.28515625" style="273" customWidth="1"/>
    <col min="6151" max="6405" width="9.140625" style="273"/>
    <col min="6406" max="6406" width="4.28515625" style="273" customWidth="1"/>
    <col min="6407" max="6661" width="9.140625" style="273"/>
    <col min="6662" max="6662" width="4.28515625" style="273" customWidth="1"/>
    <col min="6663" max="6917" width="9.140625" style="273"/>
    <col min="6918" max="6918" width="4.28515625" style="273" customWidth="1"/>
    <col min="6919" max="7173" width="9.140625" style="273"/>
    <col min="7174" max="7174" width="4.28515625" style="273" customWidth="1"/>
    <col min="7175" max="7429" width="9.140625" style="273"/>
    <col min="7430" max="7430" width="4.28515625" style="273" customWidth="1"/>
    <col min="7431" max="7685" width="9.140625" style="273"/>
    <col min="7686" max="7686" width="4.28515625" style="273" customWidth="1"/>
    <col min="7687" max="7941" width="9.140625" style="273"/>
    <col min="7942" max="7942" width="4.28515625" style="273" customWidth="1"/>
    <col min="7943" max="8197" width="9.140625" style="273"/>
    <col min="8198" max="8198" width="4.28515625" style="273" customWidth="1"/>
    <col min="8199" max="8453" width="9.140625" style="273"/>
    <col min="8454" max="8454" width="4.28515625" style="273" customWidth="1"/>
    <col min="8455" max="8709" width="9.140625" style="273"/>
    <col min="8710" max="8710" width="4.28515625" style="273" customWidth="1"/>
    <col min="8711" max="8965" width="9.140625" style="273"/>
    <col min="8966" max="8966" width="4.28515625" style="273" customWidth="1"/>
    <col min="8967" max="9221" width="9.140625" style="273"/>
    <col min="9222" max="9222" width="4.28515625" style="273" customWidth="1"/>
    <col min="9223" max="9477" width="9.140625" style="273"/>
    <col min="9478" max="9478" width="4.28515625" style="273" customWidth="1"/>
    <col min="9479" max="9733" width="9.140625" style="273"/>
    <col min="9734" max="9734" width="4.28515625" style="273" customWidth="1"/>
    <col min="9735" max="9989" width="9.140625" style="273"/>
    <col min="9990" max="9990" width="4.28515625" style="273" customWidth="1"/>
    <col min="9991" max="10245" width="9.140625" style="273"/>
    <col min="10246" max="10246" width="4.28515625" style="273" customWidth="1"/>
    <col min="10247" max="10501" width="9.140625" style="273"/>
    <col min="10502" max="10502" width="4.28515625" style="273" customWidth="1"/>
    <col min="10503" max="10757" width="9.140625" style="273"/>
    <col min="10758" max="10758" width="4.28515625" style="273" customWidth="1"/>
    <col min="10759" max="11013" width="9.140625" style="273"/>
    <col min="11014" max="11014" width="4.28515625" style="273" customWidth="1"/>
    <col min="11015" max="11269" width="9.140625" style="273"/>
    <col min="11270" max="11270" width="4.28515625" style="273" customWidth="1"/>
    <col min="11271" max="11525" width="9.140625" style="273"/>
    <col min="11526" max="11526" width="4.28515625" style="273" customWidth="1"/>
    <col min="11527" max="11781" width="9.140625" style="273"/>
    <col min="11782" max="11782" width="4.28515625" style="273" customWidth="1"/>
    <col min="11783" max="12037" width="9.140625" style="273"/>
    <col min="12038" max="12038" width="4.28515625" style="273" customWidth="1"/>
    <col min="12039" max="12293" width="9.140625" style="273"/>
    <col min="12294" max="12294" width="4.28515625" style="273" customWidth="1"/>
    <col min="12295" max="12549" width="9.140625" style="273"/>
    <col min="12550" max="12550" width="4.28515625" style="273" customWidth="1"/>
    <col min="12551" max="12805" width="9.140625" style="273"/>
    <col min="12806" max="12806" width="4.28515625" style="273" customWidth="1"/>
    <col min="12807" max="13061" width="9.140625" style="273"/>
    <col min="13062" max="13062" width="4.28515625" style="273" customWidth="1"/>
    <col min="13063" max="13317" width="9.140625" style="273"/>
    <col min="13318" max="13318" width="4.28515625" style="273" customWidth="1"/>
    <col min="13319" max="13573" width="9.140625" style="273"/>
    <col min="13574" max="13574" width="4.28515625" style="273" customWidth="1"/>
    <col min="13575" max="13829" width="9.140625" style="273"/>
    <col min="13830" max="13830" width="4.28515625" style="273" customWidth="1"/>
    <col min="13831" max="14085" width="9.140625" style="273"/>
    <col min="14086" max="14086" width="4.28515625" style="273" customWidth="1"/>
    <col min="14087" max="14341" width="9.140625" style="273"/>
    <col min="14342" max="14342" width="4.28515625" style="273" customWidth="1"/>
    <col min="14343" max="14597" width="9.140625" style="273"/>
    <col min="14598" max="14598" width="4.28515625" style="273" customWidth="1"/>
    <col min="14599" max="14853" width="9.140625" style="273"/>
    <col min="14854" max="14854" width="4.28515625" style="273" customWidth="1"/>
    <col min="14855" max="15109" width="9.140625" style="273"/>
    <col min="15110" max="15110" width="4.28515625" style="273" customWidth="1"/>
    <col min="15111" max="15365" width="9.140625" style="273"/>
    <col min="15366" max="15366" width="4.28515625" style="273" customWidth="1"/>
    <col min="15367" max="15621" width="9.140625" style="273"/>
    <col min="15622" max="15622" width="4.28515625" style="273" customWidth="1"/>
    <col min="15623" max="15877" width="9.140625" style="273"/>
    <col min="15878" max="15878" width="4.28515625" style="273" customWidth="1"/>
    <col min="15879" max="16133" width="9.140625" style="273"/>
    <col min="16134" max="16134" width="4.28515625" style="273" customWidth="1"/>
    <col min="16135" max="16384" width="9.140625" style="273"/>
  </cols>
  <sheetData>
    <row r="1" spans="1:31" ht="15">
      <c r="A1" s="272"/>
      <c r="B1" s="252" t="s">
        <v>38</v>
      </c>
      <c r="C1" s="272"/>
      <c r="D1" s="272"/>
      <c r="E1" s="272"/>
      <c r="F1" s="272"/>
      <c r="G1" s="272"/>
      <c r="H1" s="272"/>
      <c r="I1" s="272"/>
      <c r="J1" s="272"/>
      <c r="K1" s="272"/>
      <c r="L1" s="272"/>
      <c r="M1" s="272"/>
      <c r="X1"/>
      <c r="Y1"/>
      <c r="Z1"/>
      <c r="AA1"/>
      <c r="AB1"/>
      <c r="AC1"/>
      <c r="AD1"/>
      <c r="AE1"/>
    </row>
    <row r="2" spans="1:31">
      <c r="A2" s="272"/>
      <c r="B2" s="253"/>
      <c r="C2" s="272"/>
      <c r="D2" s="272"/>
      <c r="E2" s="272"/>
      <c r="F2" s="272"/>
      <c r="G2" s="272"/>
      <c r="H2" s="272"/>
      <c r="I2" s="272"/>
      <c r="J2" s="272"/>
      <c r="K2" s="272"/>
      <c r="L2" s="272"/>
      <c r="M2" s="272"/>
      <c r="X2"/>
      <c r="Y2"/>
      <c r="Z2"/>
      <c r="AA2"/>
      <c r="AB2"/>
      <c r="AC2"/>
      <c r="AD2"/>
      <c r="AE2"/>
    </row>
    <row r="3" spans="1:31">
      <c r="A3" s="274"/>
      <c r="B3" s="165"/>
      <c r="C3" s="165"/>
      <c r="D3" s="165"/>
      <c r="E3" s="165"/>
      <c r="F3" s="165"/>
      <c r="G3" s="165"/>
      <c r="H3" s="165"/>
      <c r="I3" s="165"/>
      <c r="J3" s="165"/>
      <c r="K3" s="165"/>
      <c r="L3" s="165"/>
      <c r="M3" s="165"/>
      <c r="O3" s="267" t="s">
        <v>574</v>
      </c>
      <c r="P3" s="268"/>
      <c r="Q3" s="268"/>
      <c r="R3" s="268"/>
      <c r="S3" s="268"/>
      <c r="T3" s="268"/>
      <c r="U3" s="268"/>
      <c r="V3" s="268"/>
      <c r="W3" s="268"/>
      <c r="X3"/>
      <c r="Y3"/>
      <c r="Z3"/>
      <c r="AA3"/>
      <c r="AB3"/>
      <c r="AC3"/>
      <c r="AD3"/>
      <c r="AE3"/>
    </row>
    <row r="4" spans="1:31">
      <c r="A4" s="274"/>
      <c r="B4" s="165"/>
      <c r="C4" s="165"/>
      <c r="D4" s="165"/>
      <c r="E4" s="165"/>
      <c r="F4" s="165"/>
      <c r="G4" s="165"/>
      <c r="H4" s="165"/>
      <c r="I4" s="165"/>
      <c r="J4" s="165"/>
      <c r="K4" s="165"/>
      <c r="L4" s="165"/>
      <c r="M4" s="165"/>
      <c r="O4" s="268" t="s">
        <v>513</v>
      </c>
      <c r="P4" s="268" t="s">
        <v>575</v>
      </c>
      <c r="Q4" s="268" t="s">
        <v>576</v>
      </c>
      <c r="R4" s="268" t="s">
        <v>577</v>
      </c>
      <c r="S4" s="268" t="s">
        <v>578</v>
      </c>
      <c r="T4" s="268" t="s">
        <v>579</v>
      </c>
      <c r="U4" s="268" t="s">
        <v>580</v>
      </c>
      <c r="V4" s="268"/>
      <c r="W4" s="268"/>
      <c r="X4"/>
      <c r="Y4"/>
      <c r="Z4"/>
      <c r="AA4"/>
      <c r="AB4"/>
      <c r="AC4"/>
      <c r="AD4"/>
      <c r="AE4"/>
    </row>
    <row r="5" spans="1:31">
      <c r="A5" s="274"/>
      <c r="B5" s="165"/>
      <c r="C5" s="165"/>
      <c r="D5" s="165"/>
      <c r="E5" s="165"/>
      <c r="F5" s="165"/>
      <c r="G5" s="165"/>
      <c r="H5" s="165"/>
      <c r="I5" s="165"/>
      <c r="J5" s="165"/>
      <c r="K5" s="165"/>
      <c r="L5" s="165"/>
      <c r="M5" s="165"/>
      <c r="O5" s="268">
        <v>1</v>
      </c>
      <c r="P5" s="275">
        <v>0.96585245151644561</v>
      </c>
      <c r="Q5" s="275">
        <v>1.3310040049255119</v>
      </c>
      <c r="R5" s="275">
        <v>0.61030323231646855</v>
      </c>
      <c r="S5" s="275">
        <v>0.80142581255417578</v>
      </c>
      <c r="T5" s="275">
        <v>1.0812325205156357</v>
      </c>
      <c r="U5" s="275">
        <v>0.55421144604736672</v>
      </c>
      <c r="V5" s="268"/>
      <c r="W5" s="268"/>
      <c r="X5"/>
      <c r="Y5"/>
      <c r="Z5"/>
      <c r="AA5"/>
      <c r="AB5"/>
      <c r="AC5"/>
      <c r="AD5"/>
      <c r="AE5"/>
    </row>
    <row r="6" spans="1:31">
      <c r="A6" s="274"/>
      <c r="B6" s="165"/>
      <c r="C6" s="165"/>
      <c r="D6" s="165"/>
      <c r="E6" s="165"/>
      <c r="F6" s="165"/>
      <c r="G6" s="165"/>
      <c r="H6" s="165"/>
      <c r="I6" s="165"/>
      <c r="J6" s="165"/>
      <c r="K6" s="165"/>
      <c r="L6" s="165"/>
      <c r="M6" s="165"/>
      <c r="O6" s="268">
        <v>2</v>
      </c>
      <c r="P6" s="275">
        <v>0.71410015023898943</v>
      </c>
      <c r="Q6" s="275">
        <v>1.0834107372933366</v>
      </c>
      <c r="R6" s="275">
        <v>0.35433520700031829</v>
      </c>
      <c r="S6" s="275">
        <v>0.68968786924139502</v>
      </c>
      <c r="T6" s="275">
        <v>0.98614747045151074</v>
      </c>
      <c r="U6" s="275">
        <v>0.43808074954422382</v>
      </c>
      <c r="V6" s="268"/>
      <c r="W6" s="268"/>
      <c r="X6"/>
      <c r="Y6"/>
      <c r="Z6"/>
      <c r="AA6"/>
      <c r="AB6"/>
      <c r="AC6"/>
      <c r="AD6"/>
      <c r="AE6"/>
    </row>
    <row r="7" spans="1:31">
      <c r="A7" s="274"/>
      <c r="B7" s="165"/>
      <c r="C7" s="165"/>
      <c r="D7" s="165"/>
      <c r="E7" s="165"/>
      <c r="F7" s="165"/>
      <c r="G7" s="165"/>
      <c r="H7" s="165"/>
      <c r="I7" s="165"/>
      <c r="J7" s="165"/>
      <c r="K7" s="165"/>
      <c r="L7" s="165"/>
      <c r="M7" s="165"/>
      <c r="O7" s="268">
        <v>3</v>
      </c>
      <c r="P7" s="275">
        <v>0.51317172045004722</v>
      </c>
      <c r="Q7" s="275">
        <v>0.87196789182775414</v>
      </c>
      <c r="R7" s="275">
        <v>0.14360565618074517</v>
      </c>
      <c r="S7" s="275">
        <v>0.58888116081479847</v>
      </c>
      <c r="T7" s="275">
        <v>0.89622534377846441</v>
      </c>
      <c r="U7" s="275">
        <v>0.315059882298525</v>
      </c>
      <c r="V7" s="268"/>
      <c r="W7" s="268"/>
      <c r="X7"/>
      <c r="Y7"/>
      <c r="Z7"/>
      <c r="AA7"/>
      <c r="AB7"/>
      <c r="AC7"/>
      <c r="AD7"/>
      <c r="AE7"/>
    </row>
    <row r="8" spans="1:31">
      <c r="A8" s="274"/>
      <c r="B8" s="165"/>
      <c r="C8" s="165"/>
      <c r="D8" s="165"/>
      <c r="E8" s="165"/>
      <c r="F8" s="165"/>
      <c r="G8" s="165"/>
      <c r="H8" s="165"/>
      <c r="I8" s="165"/>
      <c r="J8" s="165"/>
      <c r="K8" s="165"/>
      <c r="L8" s="165"/>
      <c r="M8" s="165"/>
      <c r="O8" s="268">
        <v>4</v>
      </c>
      <c r="P8" s="275">
        <v>0.40456327942760006</v>
      </c>
      <c r="Q8" s="275">
        <v>0.75698302871468048</v>
      </c>
      <c r="R8" s="275">
        <v>3.8202561950786577E-2</v>
      </c>
      <c r="S8" s="275">
        <v>0.52035321399326484</v>
      </c>
      <c r="T8" s="275">
        <v>0.83432044522536097</v>
      </c>
      <c r="U8" s="275">
        <v>0.22792976756759947</v>
      </c>
      <c r="V8" s="268"/>
      <c r="W8" s="268"/>
      <c r="X8"/>
      <c r="Y8"/>
      <c r="Z8"/>
      <c r="AA8"/>
      <c r="AB8"/>
      <c r="AC8"/>
      <c r="AD8"/>
      <c r="AE8"/>
    </row>
    <row r="9" spans="1:31">
      <c r="A9" s="274"/>
      <c r="B9" s="165"/>
      <c r="C9" s="165"/>
      <c r="D9" s="165"/>
      <c r="E9" s="165"/>
      <c r="F9" s="165"/>
      <c r="G9" s="165"/>
      <c r="H9" s="165"/>
      <c r="I9" s="165"/>
      <c r="J9" s="165"/>
      <c r="K9" s="165"/>
      <c r="L9" s="165"/>
      <c r="M9" s="165"/>
      <c r="O9" s="268">
        <v>5</v>
      </c>
      <c r="P9" s="275">
        <v>0.34448083234178245</v>
      </c>
      <c r="Q9" s="275">
        <v>0.69514124178606351</v>
      </c>
      <c r="R9" s="275">
        <v>-2.1263333490743264E-2</v>
      </c>
      <c r="S9" s="275">
        <v>0.47638758098700384</v>
      </c>
      <c r="T9" s="275">
        <v>0.79498213916883764</v>
      </c>
      <c r="U9" s="275">
        <v>0.17342910251402874</v>
      </c>
      <c r="V9" s="268"/>
      <c r="W9" s="268"/>
      <c r="X9"/>
      <c r="Y9"/>
      <c r="Z9"/>
      <c r="AA9"/>
      <c r="AB9"/>
      <c r="AC9"/>
      <c r="AD9"/>
      <c r="AE9"/>
    </row>
    <row r="10" spans="1:31">
      <c r="A10" s="274"/>
      <c r="B10" s="165"/>
      <c r="C10" s="165"/>
      <c r="D10" s="165"/>
      <c r="E10" s="165"/>
      <c r="F10" s="165"/>
      <c r="G10" s="165"/>
      <c r="H10" s="165"/>
      <c r="I10" s="165"/>
      <c r="J10" s="165"/>
      <c r="K10" s="165"/>
      <c r="L10" s="165"/>
      <c r="M10" s="165"/>
      <c r="O10" s="268">
        <v>6</v>
      </c>
      <c r="P10" s="275">
        <v>0.30945677853275283</v>
      </c>
      <c r="Q10" s="275">
        <v>0.65118310954019232</v>
      </c>
      <c r="R10" s="275">
        <v>-4.8162671414014625E-2</v>
      </c>
      <c r="S10" s="275">
        <v>0.43890256633426744</v>
      </c>
      <c r="T10" s="275">
        <v>0.76270329822679173</v>
      </c>
      <c r="U10" s="275">
        <v>0.12373451671479375</v>
      </c>
      <c r="V10" s="268"/>
      <c r="W10" s="268"/>
      <c r="X10"/>
      <c r="Y10"/>
      <c r="Z10"/>
      <c r="AA10"/>
      <c r="AB10"/>
      <c r="AC10"/>
      <c r="AD10"/>
      <c r="AE10"/>
    </row>
    <row r="11" spans="1:31">
      <c r="A11" s="272"/>
      <c r="B11" s="165"/>
      <c r="C11" s="165"/>
      <c r="D11" s="165"/>
      <c r="E11" s="165"/>
      <c r="F11" s="165"/>
      <c r="G11" s="165"/>
      <c r="H11" s="165"/>
      <c r="I11" s="165"/>
      <c r="J11" s="165"/>
      <c r="K11" s="165"/>
      <c r="L11" s="165"/>
      <c r="M11" s="165"/>
      <c r="O11" s="268">
        <v>7</v>
      </c>
      <c r="P11" s="275">
        <v>0.28853783545582068</v>
      </c>
      <c r="Q11" s="275">
        <v>0.61632229288000673</v>
      </c>
      <c r="R11" s="275">
        <v>-6.6084812855764202E-2</v>
      </c>
      <c r="S11" s="275">
        <v>0.4148038809097086</v>
      </c>
      <c r="T11" s="275">
        <v>0.74057742073658284</v>
      </c>
      <c r="U11" s="275">
        <v>0.10154787084722827</v>
      </c>
      <c r="V11" s="268"/>
      <c r="W11" s="268"/>
      <c r="X11"/>
      <c r="Y11"/>
      <c r="Z11"/>
      <c r="AA11"/>
      <c r="AB11"/>
      <c r="AC11"/>
      <c r="AD11"/>
      <c r="AE11"/>
    </row>
    <row r="12" spans="1:31">
      <c r="A12" s="274"/>
      <c r="B12" s="165"/>
      <c r="C12" s="165"/>
      <c r="D12" s="165"/>
      <c r="E12" s="165"/>
      <c r="F12" s="165"/>
      <c r="G12" s="165"/>
      <c r="H12" s="165"/>
      <c r="I12" s="165"/>
      <c r="J12" s="165"/>
      <c r="K12" s="165"/>
      <c r="L12" s="165"/>
      <c r="M12" s="165"/>
      <c r="O12" s="268">
        <v>8</v>
      </c>
      <c r="P12" s="275">
        <v>0.27022754694000745</v>
      </c>
      <c r="Q12" s="275">
        <v>0.59105730753237617</v>
      </c>
      <c r="R12" s="275">
        <v>-8.5455555438264344E-2</v>
      </c>
      <c r="S12" s="275">
        <v>0.39706651641537111</v>
      </c>
      <c r="T12" s="275">
        <v>0.71623740288668025</v>
      </c>
      <c r="U12" s="275">
        <v>8.2793734761695645E-2</v>
      </c>
      <c r="V12" s="268"/>
      <c r="W12" s="268"/>
      <c r="X12"/>
      <c r="Y12"/>
      <c r="Z12"/>
      <c r="AA12"/>
      <c r="AB12"/>
      <c r="AC12"/>
      <c r="AD12"/>
      <c r="AE12"/>
    </row>
    <row r="13" spans="1:31">
      <c r="A13" s="274"/>
      <c r="B13" s="165"/>
      <c r="C13" s="165"/>
      <c r="D13" s="165"/>
      <c r="E13" s="165"/>
      <c r="F13" s="165"/>
      <c r="G13" s="165"/>
      <c r="H13" s="165"/>
      <c r="I13" s="165"/>
      <c r="J13" s="165"/>
      <c r="K13" s="165"/>
      <c r="L13" s="165"/>
      <c r="M13" s="165"/>
      <c r="O13" s="268">
        <v>9</v>
      </c>
      <c r="P13" s="275">
        <v>0.25853595079367803</v>
      </c>
      <c r="Q13" s="275">
        <v>0.56740803237229209</v>
      </c>
      <c r="R13" s="275">
        <v>-9.2953945341693323E-2</v>
      </c>
      <c r="S13" s="275">
        <v>0.38268888454289895</v>
      </c>
      <c r="T13" s="275">
        <v>0.69826380783934583</v>
      </c>
      <c r="U13" s="275">
        <v>5.6488727785469726E-2</v>
      </c>
      <c r="V13" s="268"/>
      <c r="W13" s="268"/>
      <c r="X13"/>
      <c r="Y13"/>
      <c r="Z13"/>
      <c r="AA13"/>
      <c r="AB13"/>
      <c r="AC13"/>
      <c r="AD13"/>
      <c r="AE13"/>
    </row>
    <row r="14" spans="1:31">
      <c r="A14" s="274"/>
      <c r="B14" s="165"/>
      <c r="C14" s="165"/>
      <c r="D14" s="165"/>
      <c r="E14" s="165"/>
      <c r="F14" s="165"/>
      <c r="G14" s="165"/>
      <c r="H14" s="165"/>
      <c r="I14" s="165"/>
      <c r="J14" s="165"/>
      <c r="K14" s="165"/>
      <c r="L14" s="165"/>
      <c r="M14" s="165"/>
      <c r="O14" s="268">
        <v>10</v>
      </c>
      <c r="P14" s="275">
        <v>0.24749286163759515</v>
      </c>
      <c r="Q14" s="275">
        <v>0.54769215917103975</v>
      </c>
      <c r="R14" s="275">
        <v>-0.10004968626635341</v>
      </c>
      <c r="S14" s="275">
        <v>0.36921186953965013</v>
      </c>
      <c r="T14" s="275">
        <v>0.69131020668276588</v>
      </c>
      <c r="U14" s="275">
        <v>4.2019503071127312E-2</v>
      </c>
      <c r="V14" s="268"/>
      <c r="W14" s="268"/>
      <c r="X14"/>
      <c r="Y14"/>
      <c r="Z14"/>
      <c r="AA14"/>
      <c r="AB14"/>
      <c r="AC14"/>
      <c r="AD14"/>
      <c r="AE14"/>
    </row>
    <row r="15" spans="1:31">
      <c r="A15" s="274"/>
      <c r="B15" s="165"/>
      <c r="C15" s="165"/>
      <c r="D15" s="165"/>
      <c r="E15" s="165"/>
      <c r="F15" s="165"/>
      <c r="G15" s="165"/>
      <c r="H15" s="165"/>
      <c r="I15" s="165"/>
      <c r="J15" s="165"/>
      <c r="K15" s="165"/>
      <c r="L15" s="165"/>
      <c r="M15" s="165"/>
      <c r="O15" s="268">
        <v>11</v>
      </c>
      <c r="P15" s="275">
        <v>0.2362092208590616</v>
      </c>
      <c r="Q15" s="275">
        <v>0.52701985832830578</v>
      </c>
      <c r="R15" s="275">
        <v>-0.10289588392479389</v>
      </c>
      <c r="S15" s="275">
        <v>0.35733552746969716</v>
      </c>
      <c r="T15" s="275">
        <v>0.6797681550835768</v>
      </c>
      <c r="U15" s="275">
        <v>2.6992323045576985E-2</v>
      </c>
      <c r="V15" s="268"/>
      <c r="W15" s="268"/>
      <c r="X15"/>
      <c r="Y15"/>
      <c r="Z15"/>
      <c r="AA15"/>
      <c r="AB15"/>
      <c r="AC15"/>
      <c r="AD15"/>
      <c r="AE15"/>
    </row>
    <row r="16" spans="1:31">
      <c r="A16" s="274"/>
      <c r="B16" s="165"/>
      <c r="C16" s="165"/>
      <c r="D16" s="165"/>
      <c r="E16" s="165"/>
      <c r="F16" s="165"/>
      <c r="G16" s="165"/>
      <c r="H16" s="165"/>
      <c r="I16" s="165"/>
      <c r="J16" s="165"/>
      <c r="K16" s="165"/>
      <c r="L16" s="165"/>
      <c r="M16" s="165"/>
      <c r="O16" s="268">
        <v>12</v>
      </c>
      <c r="P16" s="275">
        <v>0.22681042276771318</v>
      </c>
      <c r="Q16" s="275">
        <v>0.51050400526854978</v>
      </c>
      <c r="R16" s="275">
        <v>-0.10393705284951414</v>
      </c>
      <c r="S16" s="275">
        <v>0.34696134283662039</v>
      </c>
      <c r="T16" s="275">
        <v>0.66966313666193356</v>
      </c>
      <c r="U16" s="275">
        <v>1.3707433415439861E-2</v>
      </c>
      <c r="V16" s="268"/>
      <c r="W16" s="268"/>
      <c r="X16"/>
      <c r="Y16"/>
      <c r="Z16"/>
      <c r="AA16"/>
      <c r="AB16"/>
      <c r="AC16"/>
      <c r="AD16"/>
      <c r="AE16"/>
    </row>
    <row r="17" spans="1:31">
      <c r="A17" s="274"/>
      <c r="B17" s="165"/>
      <c r="C17" s="165"/>
      <c r="D17" s="165"/>
      <c r="E17" s="165"/>
      <c r="F17" s="165"/>
      <c r="G17" s="165"/>
      <c r="H17" s="165"/>
      <c r="I17" s="165"/>
      <c r="J17" s="165"/>
      <c r="K17" s="165"/>
      <c r="L17" s="165"/>
      <c r="M17" s="165"/>
      <c r="O17" s="268"/>
      <c r="P17" s="268"/>
      <c r="Q17" s="268"/>
      <c r="R17" s="268"/>
      <c r="S17" s="268"/>
      <c r="T17" s="268"/>
      <c r="U17" s="268"/>
      <c r="V17" s="268"/>
      <c r="W17" s="268"/>
      <c r="X17"/>
      <c r="Y17"/>
      <c r="Z17"/>
      <c r="AA17"/>
      <c r="AB17"/>
      <c r="AC17"/>
      <c r="AD17"/>
      <c r="AE17"/>
    </row>
    <row r="18" spans="1:31">
      <c r="A18" s="274"/>
      <c r="B18" s="272"/>
      <c r="C18" s="272"/>
      <c r="D18" s="272"/>
      <c r="E18" s="272"/>
      <c r="F18" s="272"/>
      <c r="G18" s="272"/>
      <c r="H18" s="272"/>
      <c r="I18" s="272"/>
      <c r="J18" s="272"/>
      <c r="K18" s="272"/>
      <c r="L18" s="272"/>
      <c r="M18" s="272"/>
      <c r="O18" s="267" t="s">
        <v>581</v>
      </c>
      <c r="P18" s="268"/>
      <c r="Q18" s="268"/>
      <c r="R18" s="268"/>
      <c r="S18" s="268"/>
      <c r="T18" s="268"/>
      <c r="U18" s="268"/>
      <c r="V18" s="268"/>
      <c r="W18" s="268"/>
      <c r="X18"/>
      <c r="Y18"/>
      <c r="Z18"/>
      <c r="AA18"/>
      <c r="AB18"/>
      <c r="AC18"/>
      <c r="AD18"/>
      <c r="AE18"/>
    </row>
    <row r="19" spans="1:31">
      <c r="A19" s="272"/>
      <c r="B19" s="272"/>
      <c r="C19" s="272"/>
      <c r="D19" s="272"/>
      <c r="E19" s="272"/>
      <c r="F19" s="272"/>
      <c r="G19" s="272"/>
      <c r="H19" s="272"/>
      <c r="I19" s="272"/>
      <c r="J19" s="272"/>
      <c r="K19" s="272"/>
      <c r="L19" s="272"/>
      <c r="M19" s="272"/>
      <c r="O19" s="268" t="s">
        <v>513</v>
      </c>
      <c r="P19" s="268" t="s">
        <v>575</v>
      </c>
      <c r="Q19" s="268" t="s">
        <v>576</v>
      </c>
      <c r="R19" s="268" t="s">
        <v>577</v>
      </c>
      <c r="S19" s="268" t="s">
        <v>578</v>
      </c>
      <c r="T19" s="268" t="s">
        <v>579</v>
      </c>
      <c r="U19" s="268" t="s">
        <v>580</v>
      </c>
      <c r="V19" s="268"/>
      <c r="W19" s="268"/>
      <c r="X19"/>
      <c r="Y19"/>
      <c r="Z19"/>
      <c r="AA19"/>
      <c r="AB19"/>
      <c r="AC19"/>
      <c r="AD19"/>
      <c r="AE19"/>
    </row>
    <row r="20" spans="1:31">
      <c r="A20" s="272"/>
      <c r="B20" s="272"/>
      <c r="C20" s="272"/>
      <c r="D20" s="272"/>
      <c r="E20" s="272"/>
      <c r="F20" s="272"/>
      <c r="G20" s="272"/>
      <c r="H20" s="272"/>
      <c r="I20" s="272"/>
      <c r="J20" s="272"/>
      <c r="K20" s="272"/>
      <c r="L20" s="272"/>
      <c r="M20" s="272"/>
      <c r="O20" s="268">
        <v>1</v>
      </c>
      <c r="P20" s="275">
        <v>0.46313647070501246</v>
      </c>
      <c r="Q20" s="275">
        <v>0.60583015923575778</v>
      </c>
      <c r="R20" s="275">
        <v>0.3172625658173025</v>
      </c>
      <c r="S20" s="275">
        <v>0.89913754073733865</v>
      </c>
      <c r="T20" s="275">
        <v>1.2166613049890644</v>
      </c>
      <c r="U20" s="275">
        <v>0.57972849216380296</v>
      </c>
      <c r="V20" s="268"/>
      <c r="W20" s="268"/>
      <c r="X20"/>
      <c r="Y20"/>
      <c r="Z20"/>
      <c r="AA20"/>
      <c r="AB20"/>
      <c r="AC20"/>
      <c r="AD20"/>
      <c r="AE20"/>
    </row>
    <row r="21" spans="1:31">
      <c r="A21" s="272"/>
      <c r="B21" s="272"/>
      <c r="C21" s="272"/>
      <c r="D21" s="272"/>
      <c r="E21" s="272"/>
      <c r="F21" s="272"/>
      <c r="G21" s="272"/>
      <c r="H21" s="272"/>
      <c r="I21" s="272"/>
      <c r="J21" s="272"/>
      <c r="K21" s="272"/>
      <c r="L21" s="272"/>
      <c r="M21" s="272"/>
      <c r="O21" s="268">
        <v>2</v>
      </c>
      <c r="P21" s="275">
        <v>0.25879608749091204</v>
      </c>
      <c r="Q21" s="275">
        <v>0.34735085370523999</v>
      </c>
      <c r="R21" s="275">
        <v>0.17690979793305961</v>
      </c>
      <c r="S21" s="275">
        <v>0.6671387063972477</v>
      </c>
      <c r="T21" s="275">
        <v>0.8983488900178227</v>
      </c>
      <c r="U21" s="275">
        <v>0.43959654052609765</v>
      </c>
      <c r="V21" s="268"/>
      <c r="W21" s="268"/>
      <c r="X21"/>
      <c r="Y21"/>
      <c r="Z21"/>
      <c r="AA21"/>
      <c r="AB21"/>
      <c r="AC21"/>
      <c r="AD21"/>
      <c r="AE21"/>
    </row>
    <row r="22" spans="1:31">
      <c r="A22" s="272"/>
      <c r="B22" s="272"/>
      <c r="C22" s="272"/>
      <c r="D22" s="272"/>
      <c r="E22" s="272"/>
      <c r="F22" s="272"/>
      <c r="G22" s="272"/>
      <c r="H22" s="272"/>
      <c r="I22" s="272"/>
      <c r="J22" s="272"/>
      <c r="K22" s="272"/>
      <c r="L22" s="272"/>
      <c r="M22" s="272"/>
      <c r="O22" s="268">
        <v>3</v>
      </c>
      <c r="P22" s="275">
        <v>0.11162351440363649</v>
      </c>
      <c r="Q22" s="275">
        <v>0.17421874245336777</v>
      </c>
      <c r="R22" s="275">
        <v>5.4038779234198885E-2</v>
      </c>
      <c r="S22" s="275">
        <v>0.43726960417743671</v>
      </c>
      <c r="T22" s="275">
        <v>0.59798455180919974</v>
      </c>
      <c r="U22" s="275">
        <v>0.28825886581620608</v>
      </c>
      <c r="V22" s="268"/>
      <c r="W22" s="268"/>
      <c r="X22"/>
      <c r="Y22"/>
      <c r="Z22"/>
      <c r="AA22"/>
      <c r="AB22"/>
      <c r="AC22"/>
      <c r="AD22"/>
      <c r="AE22"/>
    </row>
    <row r="23" spans="1:31">
      <c r="A23" s="272"/>
      <c r="B23" s="272"/>
      <c r="C23" s="272"/>
      <c r="D23" s="272"/>
      <c r="E23" s="272"/>
      <c r="F23" s="272"/>
      <c r="G23" s="272"/>
      <c r="H23" s="272"/>
      <c r="I23" s="272"/>
      <c r="J23" s="272"/>
      <c r="K23" s="272"/>
      <c r="L23" s="272"/>
      <c r="M23" s="272"/>
      <c r="O23" s="268">
        <v>4</v>
      </c>
      <c r="P23" s="275">
        <v>3.7397197510079284E-2</v>
      </c>
      <c r="Q23" s="275">
        <v>9.1329043352243899E-2</v>
      </c>
      <c r="R23" s="275">
        <v>-1.0505237957843345E-2</v>
      </c>
      <c r="S23" s="275">
        <v>0.28277543078860601</v>
      </c>
      <c r="T23" s="275">
        <v>0.40858595674927289</v>
      </c>
      <c r="U23" s="275">
        <v>0.16975504548496206</v>
      </c>
      <c r="V23" s="308"/>
      <c r="W23" s="308"/>
      <c r="Y23"/>
      <c r="Z23"/>
      <c r="AA23"/>
      <c r="AB23"/>
      <c r="AC23"/>
      <c r="AD23"/>
      <c r="AE23"/>
    </row>
    <row r="24" spans="1:31">
      <c r="A24" s="272"/>
      <c r="B24" s="272"/>
      <c r="C24" s="272"/>
      <c r="D24" s="272"/>
      <c r="E24" s="272"/>
      <c r="F24" s="272"/>
      <c r="G24" s="272"/>
      <c r="H24" s="272"/>
      <c r="I24" s="272"/>
      <c r="J24" s="272"/>
      <c r="K24" s="272"/>
      <c r="L24" s="272"/>
      <c r="M24" s="272"/>
      <c r="O24" s="268">
        <v>5</v>
      </c>
      <c r="P24" s="275">
        <v>4.7537537709503195E-3</v>
      </c>
      <c r="Q24" s="275">
        <v>5.1701202430981814E-2</v>
      </c>
      <c r="R24" s="275">
        <v>-3.5998750790554958E-2</v>
      </c>
      <c r="S24" s="275">
        <v>0.18649509846095264</v>
      </c>
      <c r="T24" s="275">
        <v>0.28706159114708513</v>
      </c>
      <c r="U24" s="275">
        <v>8.6298387156131459E-2</v>
      </c>
      <c r="V24" s="308"/>
      <c r="W24" s="308"/>
      <c r="Y24"/>
      <c r="Z24"/>
      <c r="AA24"/>
      <c r="AB24"/>
      <c r="AC24"/>
      <c r="AD24"/>
      <c r="AE24"/>
    </row>
    <row r="25" spans="1:31">
      <c r="A25" s="272"/>
      <c r="B25" s="272"/>
      <c r="C25" s="272"/>
      <c r="D25" s="272"/>
      <c r="E25" s="272"/>
      <c r="F25" s="272"/>
      <c r="G25" s="272"/>
      <c r="H25" s="272"/>
      <c r="I25" s="272"/>
      <c r="J25" s="272"/>
      <c r="K25" s="272"/>
      <c r="L25" s="272"/>
      <c r="M25" s="272"/>
      <c r="O25" s="268">
        <v>6</v>
      </c>
      <c r="P25" s="275">
        <v>-8.9149912052391145E-3</v>
      </c>
      <c r="Q25" s="275">
        <v>3.2632717167679674E-2</v>
      </c>
      <c r="R25" s="275">
        <v>-4.5222991125648544E-2</v>
      </c>
      <c r="S25" s="275">
        <v>0.12348793379616728</v>
      </c>
      <c r="T25" s="275">
        <v>0.21271278600767257</v>
      </c>
      <c r="U25" s="275">
        <v>2.9487404208323607E-2</v>
      </c>
      <c r="V25" s="308"/>
      <c r="W25" s="308"/>
      <c r="Y25"/>
      <c r="Z25"/>
      <c r="AA25"/>
      <c r="AB25"/>
      <c r="AC25"/>
      <c r="AD25"/>
      <c r="AE25"/>
    </row>
    <row r="26" spans="1:31">
      <c r="A26" s="272"/>
      <c r="B26" s="272"/>
      <c r="C26" s="272"/>
      <c r="D26" s="272"/>
      <c r="E26" s="272"/>
      <c r="F26" s="272"/>
      <c r="G26" s="272"/>
      <c r="H26" s="272"/>
      <c r="I26" s="272"/>
      <c r="J26" s="272"/>
      <c r="K26" s="272"/>
      <c r="L26" s="272"/>
      <c r="M26" s="272"/>
      <c r="O26" s="268">
        <v>7</v>
      </c>
      <c r="P26" s="275">
        <v>-1.4715845983067894E-2</v>
      </c>
      <c r="Q26" s="275">
        <v>2.1317018366052782E-2</v>
      </c>
      <c r="R26" s="275">
        <v>-4.7752164792601089E-2</v>
      </c>
      <c r="S26" s="275">
        <v>8.4243062990757872E-2</v>
      </c>
      <c r="T26" s="275">
        <v>0.1695357336053403</v>
      </c>
      <c r="U26" s="275">
        <v>-4.6399072765424994E-3</v>
      </c>
      <c r="V26" s="308"/>
      <c r="W26" s="308"/>
      <c r="Y26"/>
      <c r="Z26"/>
      <c r="AA26"/>
      <c r="AB26"/>
      <c r="AC26"/>
      <c r="AD26"/>
      <c r="AE26"/>
    </row>
    <row r="27" spans="1:31">
      <c r="O27" s="268">
        <v>8</v>
      </c>
      <c r="P27" s="275">
        <v>-1.5915101061237509E-2</v>
      </c>
      <c r="Q27" s="275">
        <v>1.5891629400437795E-2</v>
      </c>
      <c r="R27" s="275">
        <v>-4.5937021783304464E-2</v>
      </c>
      <c r="S27" s="275">
        <v>5.903349958233757E-2</v>
      </c>
      <c r="T27" s="275">
        <v>0.13857105226305333</v>
      </c>
      <c r="U27" s="275">
        <v>-3.0520958698900702E-2</v>
      </c>
      <c r="V27" s="308"/>
      <c r="W27" s="308"/>
      <c r="Y27"/>
      <c r="Z27"/>
      <c r="AA27"/>
      <c r="AB27"/>
      <c r="AC27"/>
      <c r="AD27"/>
      <c r="AE27"/>
    </row>
    <row r="28" spans="1:31">
      <c r="O28" s="268">
        <v>9</v>
      </c>
      <c r="P28" s="275">
        <v>-1.5704975665959076E-2</v>
      </c>
      <c r="Q28" s="275">
        <v>1.2614644593108442E-2</v>
      </c>
      <c r="R28" s="275">
        <v>-4.2497811714695882E-2</v>
      </c>
      <c r="S28" s="275">
        <v>4.3043233620444703E-2</v>
      </c>
      <c r="T28" s="275">
        <v>0.1179217163408479</v>
      </c>
      <c r="U28" s="275">
        <v>-4.155936023524049E-2</v>
      </c>
      <c r="V28" s="308"/>
      <c r="W28" s="308"/>
      <c r="Y28"/>
      <c r="Z28"/>
      <c r="AA28"/>
      <c r="AB28"/>
      <c r="AC28"/>
      <c r="AD28"/>
      <c r="AE28"/>
    </row>
    <row r="29" spans="1:31">
      <c r="O29" s="268">
        <v>10</v>
      </c>
      <c r="P29" s="275">
        <v>-1.4987180504696209E-2</v>
      </c>
      <c r="Q29" s="275">
        <v>1.059487251668113E-2</v>
      </c>
      <c r="R29" s="275">
        <v>-3.898202035464339E-2</v>
      </c>
      <c r="S29" s="275">
        <v>3.1724667510807485E-2</v>
      </c>
      <c r="T29" s="275">
        <v>0.10310749665196346</v>
      </c>
      <c r="U29" s="275">
        <v>-4.5385832060253213E-2</v>
      </c>
      <c r="V29" s="308"/>
      <c r="W29" s="308"/>
      <c r="Y29"/>
      <c r="Z29"/>
      <c r="AA29"/>
      <c r="AB29"/>
      <c r="AC29"/>
      <c r="AD29"/>
      <c r="AE29"/>
    </row>
    <row r="30" spans="1:31">
      <c r="O30" s="268">
        <v>11</v>
      </c>
      <c r="P30" s="275">
        <v>-1.4119062796548522E-2</v>
      </c>
      <c r="Q30" s="275">
        <v>8.570137818246509E-3</v>
      </c>
      <c r="R30" s="275">
        <v>-3.6280984795780305E-2</v>
      </c>
      <c r="S30" s="275">
        <v>2.5474948956043148E-2</v>
      </c>
      <c r="T30" s="275">
        <v>9.2071533386373111E-2</v>
      </c>
      <c r="U30" s="275">
        <v>-4.7542296068676618E-2</v>
      </c>
      <c r="V30" s="308"/>
      <c r="W30" s="308"/>
    </row>
    <row r="31" spans="1:31">
      <c r="O31" s="268">
        <v>12</v>
      </c>
      <c r="P31" s="275">
        <v>-1.3165090826535039E-2</v>
      </c>
      <c r="Q31" s="275">
        <v>7.9901902378725249E-3</v>
      </c>
      <c r="R31" s="275">
        <v>-3.3355965461338538E-2</v>
      </c>
      <c r="S31" s="275">
        <v>2.1048669766869029E-2</v>
      </c>
      <c r="T31" s="275">
        <v>8.425460251520353E-2</v>
      </c>
      <c r="U31" s="275">
        <v>-4.7282005300484931E-2</v>
      </c>
      <c r="V31" s="308"/>
      <c r="W31" s="308"/>
    </row>
    <row r="32" spans="1:31">
      <c r="O32"/>
      <c r="P32"/>
      <c r="Q32"/>
      <c r="R32"/>
      <c r="S32"/>
      <c r="T32"/>
      <c r="U32"/>
    </row>
    <row r="33" spans="15:21">
      <c r="O33"/>
      <c r="P33"/>
      <c r="Q33"/>
      <c r="R33"/>
      <c r="S33"/>
      <c r="T33"/>
      <c r="U33"/>
    </row>
  </sheetData>
  <pageMargins left="0.75" right="0.75" top="1" bottom="1" header="0.5" footer="0.5"/>
  <pageSetup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8CA18-DFD2-40F6-9E9B-1EFFE2B9980C}">
  <dimension ref="A1:AE38"/>
  <sheetViews>
    <sheetView zoomScaleNormal="100" workbookViewId="0">
      <selection activeCell="B88" sqref="B88:K88"/>
    </sheetView>
  </sheetViews>
  <sheetFormatPr defaultColWidth="9.140625" defaultRowHeight="12.75"/>
  <cols>
    <col min="1" max="18" width="9.140625" style="273"/>
    <col min="20" max="261" width="9.140625" style="273"/>
    <col min="262" max="262" width="4.28515625" style="273" customWidth="1"/>
    <col min="263" max="517" width="9.140625" style="273"/>
    <col min="518" max="518" width="4.28515625" style="273" customWidth="1"/>
    <col min="519" max="773" width="9.140625" style="273"/>
    <col min="774" max="774" width="4.28515625" style="273" customWidth="1"/>
    <col min="775" max="1029" width="9.140625" style="273"/>
    <col min="1030" max="1030" width="4.28515625" style="273" customWidth="1"/>
    <col min="1031" max="1285" width="9.140625" style="273"/>
    <col min="1286" max="1286" width="4.28515625" style="273" customWidth="1"/>
    <col min="1287" max="1541" width="9.140625" style="273"/>
    <col min="1542" max="1542" width="4.28515625" style="273" customWidth="1"/>
    <col min="1543" max="1797" width="9.140625" style="273"/>
    <col min="1798" max="1798" width="4.28515625" style="273" customWidth="1"/>
    <col min="1799" max="2053" width="9.140625" style="273"/>
    <col min="2054" max="2054" width="4.28515625" style="273" customWidth="1"/>
    <col min="2055" max="2309" width="9.140625" style="273"/>
    <col min="2310" max="2310" width="4.28515625" style="273" customWidth="1"/>
    <col min="2311" max="2565" width="9.140625" style="273"/>
    <col min="2566" max="2566" width="4.28515625" style="273" customWidth="1"/>
    <col min="2567" max="2821" width="9.140625" style="273"/>
    <col min="2822" max="2822" width="4.28515625" style="273" customWidth="1"/>
    <col min="2823" max="3077" width="9.140625" style="273"/>
    <col min="3078" max="3078" width="4.28515625" style="273" customWidth="1"/>
    <col min="3079" max="3333" width="9.140625" style="273"/>
    <col min="3334" max="3334" width="4.28515625" style="273" customWidth="1"/>
    <col min="3335" max="3589" width="9.140625" style="273"/>
    <col min="3590" max="3590" width="4.28515625" style="273" customWidth="1"/>
    <col min="3591" max="3845" width="9.140625" style="273"/>
    <col min="3846" max="3846" width="4.28515625" style="273" customWidth="1"/>
    <col min="3847" max="4101" width="9.140625" style="273"/>
    <col min="4102" max="4102" width="4.28515625" style="273" customWidth="1"/>
    <col min="4103" max="4357" width="9.140625" style="273"/>
    <col min="4358" max="4358" width="4.28515625" style="273" customWidth="1"/>
    <col min="4359" max="4613" width="9.140625" style="273"/>
    <col min="4614" max="4614" width="4.28515625" style="273" customWidth="1"/>
    <col min="4615" max="4869" width="9.140625" style="273"/>
    <col min="4870" max="4870" width="4.28515625" style="273" customWidth="1"/>
    <col min="4871" max="5125" width="9.140625" style="273"/>
    <col min="5126" max="5126" width="4.28515625" style="273" customWidth="1"/>
    <col min="5127" max="5381" width="9.140625" style="273"/>
    <col min="5382" max="5382" width="4.28515625" style="273" customWidth="1"/>
    <col min="5383" max="5637" width="9.140625" style="273"/>
    <col min="5638" max="5638" width="4.28515625" style="273" customWidth="1"/>
    <col min="5639" max="5893" width="9.140625" style="273"/>
    <col min="5894" max="5894" width="4.28515625" style="273" customWidth="1"/>
    <col min="5895" max="6149" width="9.140625" style="273"/>
    <col min="6150" max="6150" width="4.28515625" style="273" customWidth="1"/>
    <col min="6151" max="6405" width="9.140625" style="273"/>
    <col min="6406" max="6406" width="4.28515625" style="273" customWidth="1"/>
    <col min="6407" max="6661" width="9.140625" style="273"/>
    <col min="6662" max="6662" width="4.28515625" style="273" customWidth="1"/>
    <col min="6663" max="6917" width="9.140625" style="273"/>
    <col min="6918" max="6918" width="4.28515625" style="273" customWidth="1"/>
    <col min="6919" max="7173" width="9.140625" style="273"/>
    <col min="7174" max="7174" width="4.28515625" style="273" customWidth="1"/>
    <col min="7175" max="7429" width="9.140625" style="273"/>
    <col min="7430" max="7430" width="4.28515625" style="273" customWidth="1"/>
    <col min="7431" max="7685" width="9.140625" style="273"/>
    <col min="7686" max="7686" width="4.28515625" style="273" customWidth="1"/>
    <col min="7687" max="7941" width="9.140625" style="273"/>
    <col min="7942" max="7942" width="4.28515625" style="273" customWidth="1"/>
    <col min="7943" max="8197" width="9.140625" style="273"/>
    <col min="8198" max="8198" width="4.28515625" style="273" customWidth="1"/>
    <col min="8199" max="8453" width="9.140625" style="273"/>
    <col min="8454" max="8454" width="4.28515625" style="273" customWidth="1"/>
    <col min="8455" max="8709" width="9.140625" style="273"/>
    <col min="8710" max="8710" width="4.28515625" style="273" customWidth="1"/>
    <col min="8711" max="8965" width="9.140625" style="273"/>
    <col min="8966" max="8966" width="4.28515625" style="273" customWidth="1"/>
    <col min="8967" max="9221" width="9.140625" style="273"/>
    <col min="9222" max="9222" width="4.28515625" style="273" customWidth="1"/>
    <col min="9223" max="9477" width="9.140625" style="273"/>
    <col min="9478" max="9478" width="4.28515625" style="273" customWidth="1"/>
    <col min="9479" max="9733" width="9.140625" style="273"/>
    <col min="9734" max="9734" width="4.28515625" style="273" customWidth="1"/>
    <col min="9735" max="9989" width="9.140625" style="273"/>
    <col min="9990" max="9990" width="4.28515625" style="273" customWidth="1"/>
    <col min="9991" max="10245" width="9.140625" style="273"/>
    <col min="10246" max="10246" width="4.28515625" style="273" customWidth="1"/>
    <col min="10247" max="10501" width="9.140625" style="273"/>
    <col min="10502" max="10502" width="4.28515625" style="273" customWidth="1"/>
    <col min="10503" max="10757" width="9.140625" style="273"/>
    <col min="10758" max="10758" width="4.28515625" style="273" customWidth="1"/>
    <col min="10759" max="11013" width="9.140625" style="273"/>
    <col min="11014" max="11014" width="4.28515625" style="273" customWidth="1"/>
    <col min="11015" max="11269" width="9.140625" style="273"/>
    <col min="11270" max="11270" width="4.28515625" style="273" customWidth="1"/>
    <col min="11271" max="11525" width="9.140625" style="273"/>
    <col min="11526" max="11526" width="4.28515625" style="273" customWidth="1"/>
    <col min="11527" max="11781" width="9.140625" style="273"/>
    <col min="11782" max="11782" width="4.28515625" style="273" customWidth="1"/>
    <col min="11783" max="12037" width="9.140625" style="273"/>
    <col min="12038" max="12038" width="4.28515625" style="273" customWidth="1"/>
    <col min="12039" max="12293" width="9.140625" style="273"/>
    <col min="12294" max="12294" width="4.28515625" style="273" customWidth="1"/>
    <col min="12295" max="12549" width="9.140625" style="273"/>
    <col min="12550" max="12550" width="4.28515625" style="273" customWidth="1"/>
    <col min="12551" max="12805" width="9.140625" style="273"/>
    <col min="12806" max="12806" width="4.28515625" style="273" customWidth="1"/>
    <col min="12807" max="13061" width="9.140625" style="273"/>
    <col min="13062" max="13062" width="4.28515625" style="273" customWidth="1"/>
    <col min="13063" max="13317" width="9.140625" style="273"/>
    <col min="13318" max="13318" width="4.28515625" style="273" customWidth="1"/>
    <col min="13319" max="13573" width="9.140625" style="273"/>
    <col min="13574" max="13574" width="4.28515625" style="273" customWidth="1"/>
    <col min="13575" max="13829" width="9.140625" style="273"/>
    <col min="13830" max="13830" width="4.28515625" style="273" customWidth="1"/>
    <col min="13831" max="14085" width="9.140625" style="273"/>
    <col min="14086" max="14086" width="4.28515625" style="273" customWidth="1"/>
    <col min="14087" max="14341" width="9.140625" style="273"/>
    <col min="14342" max="14342" width="4.28515625" style="273" customWidth="1"/>
    <col min="14343" max="14597" width="9.140625" style="273"/>
    <col min="14598" max="14598" width="4.28515625" style="273" customWidth="1"/>
    <col min="14599" max="14853" width="9.140625" style="273"/>
    <col min="14854" max="14854" width="4.28515625" style="273" customWidth="1"/>
    <col min="14855" max="15109" width="9.140625" style="273"/>
    <col min="15110" max="15110" width="4.28515625" style="273" customWidth="1"/>
    <col min="15111" max="15365" width="9.140625" style="273"/>
    <col min="15366" max="15366" width="4.28515625" style="273" customWidth="1"/>
    <col min="15367" max="15621" width="9.140625" style="273"/>
    <col min="15622" max="15622" width="4.28515625" style="273" customWidth="1"/>
    <col min="15623" max="15877" width="9.140625" style="273"/>
    <col min="15878" max="15878" width="4.28515625" style="273" customWidth="1"/>
    <col min="15879" max="16133" width="9.140625" style="273"/>
    <col min="16134" max="16134" width="4.28515625" style="273" customWidth="1"/>
    <col min="16135" max="16384" width="9.140625" style="273"/>
  </cols>
  <sheetData>
    <row r="1" spans="1:31" ht="15">
      <c r="A1" s="272"/>
      <c r="B1" s="252" t="s">
        <v>39</v>
      </c>
      <c r="C1" s="272"/>
      <c r="D1" s="272"/>
      <c r="E1" s="272"/>
      <c r="F1" s="272"/>
      <c r="G1" s="272"/>
      <c r="H1" s="272"/>
      <c r="I1" s="272"/>
      <c r="J1" s="272"/>
      <c r="K1" s="272"/>
      <c r="L1" s="272"/>
      <c r="M1" s="165"/>
      <c r="N1" s="165"/>
      <c r="O1" s="165"/>
      <c r="P1" s="165"/>
      <c r="Q1" s="165"/>
      <c r="R1" s="165"/>
      <c r="X1"/>
      <c r="Y1"/>
      <c r="Z1"/>
      <c r="AA1"/>
      <c r="AB1"/>
      <c r="AC1"/>
      <c r="AD1"/>
      <c r="AE1"/>
    </row>
    <row r="2" spans="1:31">
      <c r="A2" s="272"/>
      <c r="B2" s="253"/>
      <c r="C2" s="272"/>
      <c r="D2" s="272"/>
      <c r="E2" s="272"/>
      <c r="F2" s="272"/>
      <c r="G2" s="272"/>
      <c r="H2" s="272"/>
      <c r="I2" s="272"/>
      <c r="J2" s="272"/>
      <c r="K2" s="272"/>
      <c r="L2" s="272"/>
      <c r="M2" s="165"/>
      <c r="N2" s="165"/>
      <c r="O2" s="165"/>
      <c r="P2" s="165"/>
      <c r="Q2" s="165"/>
      <c r="R2" s="165"/>
      <c r="X2"/>
      <c r="Y2"/>
      <c r="Z2"/>
      <c r="AA2"/>
      <c r="AB2"/>
      <c r="AC2"/>
      <c r="AD2"/>
      <c r="AE2"/>
    </row>
    <row r="3" spans="1:31">
      <c r="A3" s="274"/>
      <c r="B3" s="165"/>
      <c r="C3" s="165"/>
      <c r="D3" s="165"/>
      <c r="E3" s="165"/>
      <c r="F3" s="165"/>
      <c r="G3" s="165"/>
      <c r="H3" s="165"/>
      <c r="I3" s="165"/>
      <c r="J3" s="165"/>
      <c r="K3" s="165"/>
      <c r="L3" s="165"/>
      <c r="M3" s="165"/>
      <c r="N3" s="165"/>
      <c r="O3" s="165"/>
      <c r="P3" s="165"/>
      <c r="Q3" s="165"/>
      <c r="R3" s="165"/>
      <c r="T3" s="268" t="s">
        <v>528</v>
      </c>
      <c r="U3" s="268" t="s">
        <v>529</v>
      </c>
      <c r="V3" s="268" t="s">
        <v>582</v>
      </c>
      <c r="W3" s="268" t="s">
        <v>583</v>
      </c>
      <c r="X3" s="268"/>
      <c r="Y3" s="269" t="s">
        <v>528</v>
      </c>
      <c r="Z3" s="268" t="s">
        <v>529</v>
      </c>
      <c r="AA3" s="268" t="s">
        <v>582</v>
      </c>
      <c r="AB3" s="268" t="s">
        <v>583</v>
      </c>
      <c r="AC3"/>
      <c r="AD3"/>
      <c r="AE3"/>
    </row>
    <row r="4" spans="1:31">
      <c r="A4" s="274"/>
      <c r="B4" s="165"/>
      <c r="C4" s="165"/>
      <c r="D4" s="165"/>
      <c r="E4" s="165"/>
      <c r="F4" s="165"/>
      <c r="G4" s="165"/>
      <c r="H4" s="165"/>
      <c r="I4" s="165"/>
      <c r="J4" s="165"/>
      <c r="K4" s="165"/>
      <c r="L4" s="165"/>
      <c r="M4" s="165"/>
      <c r="N4" s="165"/>
      <c r="O4" s="165"/>
      <c r="P4" s="165"/>
      <c r="Q4" s="165"/>
      <c r="R4" s="165"/>
      <c r="T4" s="269">
        <v>0</v>
      </c>
      <c r="U4" s="275">
        <v>0.19189999999999999</v>
      </c>
      <c r="V4" s="275">
        <v>0.31369999999999998</v>
      </c>
      <c r="W4" s="275">
        <v>7.0099999999999996E-2</v>
      </c>
      <c r="X4" s="268"/>
      <c r="Y4" s="269">
        <v>0</v>
      </c>
      <c r="Z4" s="275">
        <v>0.15206700000000001</v>
      </c>
      <c r="AA4" s="275">
        <v>0.23035</v>
      </c>
      <c r="AB4" s="275">
        <v>7.3784000000000002E-2</v>
      </c>
      <c r="AC4"/>
      <c r="AD4"/>
      <c r="AE4"/>
    </row>
    <row r="5" spans="1:31">
      <c r="A5" s="274"/>
      <c r="B5" s="165"/>
      <c r="C5" s="165"/>
      <c r="D5" s="165"/>
      <c r="E5" s="165"/>
      <c r="F5" s="165"/>
      <c r="G5" s="165"/>
      <c r="H5" s="165"/>
      <c r="I5" s="165"/>
      <c r="J5" s="165"/>
      <c r="K5" s="165"/>
      <c r="L5" s="165"/>
      <c r="M5" s="165"/>
      <c r="N5" s="165"/>
      <c r="O5" s="165"/>
      <c r="P5" s="165"/>
      <c r="Q5" s="165"/>
      <c r="R5" s="165"/>
      <c r="T5" s="269">
        <v>1</v>
      </c>
      <c r="U5" s="275">
        <v>0.22550000000000001</v>
      </c>
      <c r="V5" s="275">
        <v>0.43140000000000001</v>
      </c>
      <c r="W5" s="275">
        <v>1.9699999999999999E-2</v>
      </c>
      <c r="X5" s="268"/>
      <c r="Y5" s="269">
        <v>1</v>
      </c>
      <c r="Z5" s="275">
        <v>0.28224300000000002</v>
      </c>
      <c r="AA5" s="275">
        <v>0.40326899999999999</v>
      </c>
      <c r="AB5" s="275">
        <v>0.161217</v>
      </c>
      <c r="AC5"/>
      <c r="AD5"/>
      <c r="AE5"/>
    </row>
    <row r="6" spans="1:31">
      <c r="A6" s="274"/>
      <c r="B6" s="165"/>
      <c r="C6" s="165"/>
      <c r="D6" s="165"/>
      <c r="E6" s="165"/>
      <c r="F6" s="165"/>
      <c r="G6" s="165"/>
      <c r="H6" s="165"/>
      <c r="I6" s="165"/>
      <c r="J6" s="165"/>
      <c r="K6" s="165"/>
      <c r="L6" s="165"/>
      <c r="M6" s="165"/>
      <c r="N6" s="165"/>
      <c r="O6" s="165"/>
      <c r="P6" s="165"/>
      <c r="Q6" s="165"/>
      <c r="R6" s="165"/>
      <c r="T6" s="269">
        <v>2</v>
      </c>
      <c r="U6" s="275">
        <v>0.37429999999999997</v>
      </c>
      <c r="V6" s="275">
        <v>0.64370000000000005</v>
      </c>
      <c r="W6" s="275">
        <v>0.10490000000000001</v>
      </c>
      <c r="X6" s="268"/>
      <c r="Y6" s="269">
        <v>2</v>
      </c>
      <c r="Z6" s="275">
        <v>0.44979999999999998</v>
      </c>
      <c r="AA6" s="275">
        <v>0.60316700000000001</v>
      </c>
      <c r="AB6" s="275">
        <v>0.296433</v>
      </c>
      <c r="AC6"/>
      <c r="AD6"/>
      <c r="AE6"/>
    </row>
    <row r="7" spans="1:31">
      <c r="A7" s="274"/>
      <c r="B7" s="165"/>
      <c r="C7" s="165"/>
      <c r="D7" s="165"/>
      <c r="E7" s="165"/>
      <c r="F7" s="165"/>
      <c r="G7" s="165"/>
      <c r="H7" s="165"/>
      <c r="I7" s="165"/>
      <c r="J7" s="165"/>
      <c r="K7" s="165"/>
      <c r="L7" s="165"/>
      <c r="M7" s="165"/>
      <c r="N7" s="165"/>
      <c r="O7" s="165"/>
      <c r="P7" s="165"/>
      <c r="Q7" s="165"/>
      <c r="R7" s="165"/>
      <c r="T7" s="269">
        <v>3</v>
      </c>
      <c r="U7" s="275">
        <v>0.37260000000000004</v>
      </c>
      <c r="V7" s="275">
        <v>0.6885</v>
      </c>
      <c r="W7" s="275">
        <v>5.6599999999999998E-2</v>
      </c>
      <c r="X7" s="268"/>
      <c r="Y7" s="269">
        <v>3</v>
      </c>
      <c r="Z7" s="275">
        <v>0.49017100000000002</v>
      </c>
      <c r="AA7" s="309">
        <v>0.669215</v>
      </c>
      <c r="AB7" s="309">
        <v>0.31112600000000001</v>
      </c>
      <c r="AC7"/>
      <c r="AD7"/>
      <c r="AE7"/>
    </row>
    <row r="8" spans="1:31">
      <c r="A8" s="274"/>
      <c r="B8" s="165"/>
      <c r="C8" s="165"/>
      <c r="D8" s="165"/>
      <c r="E8" s="165"/>
      <c r="F8" s="165"/>
      <c r="G8" s="165"/>
      <c r="H8" s="165"/>
      <c r="I8" s="165"/>
      <c r="J8" s="165"/>
      <c r="K8" s="165"/>
      <c r="L8" s="165"/>
      <c r="M8" s="165"/>
      <c r="N8" s="165"/>
      <c r="O8" s="165"/>
      <c r="P8" s="165"/>
      <c r="Q8" s="165"/>
      <c r="R8" s="165"/>
      <c r="T8" s="269">
        <v>4</v>
      </c>
      <c r="U8" s="275">
        <v>0.57409999999999994</v>
      </c>
      <c r="V8" s="275">
        <v>0.92479999999999996</v>
      </c>
      <c r="W8" s="275">
        <v>0.2235</v>
      </c>
      <c r="X8" s="268"/>
      <c r="Y8" s="269">
        <v>4</v>
      </c>
      <c r="Z8" s="275">
        <v>0.36003099999999999</v>
      </c>
      <c r="AA8" s="309">
        <v>0.55546200000000001</v>
      </c>
      <c r="AB8" s="309">
        <v>0.1646</v>
      </c>
      <c r="AC8"/>
      <c r="AD8"/>
      <c r="AE8"/>
    </row>
    <row r="9" spans="1:31">
      <c r="A9" s="274"/>
      <c r="B9" s="165"/>
      <c r="C9" s="165"/>
      <c r="D9" s="165"/>
      <c r="E9" s="165"/>
      <c r="F9" s="165"/>
      <c r="G9" s="165"/>
      <c r="H9" s="165"/>
      <c r="I9" s="165"/>
      <c r="J9" s="165"/>
      <c r="K9" s="165"/>
      <c r="L9" s="165"/>
      <c r="M9" s="165"/>
      <c r="N9" s="165"/>
      <c r="O9" s="165"/>
      <c r="P9" s="165"/>
      <c r="Q9" s="165"/>
      <c r="R9" s="165"/>
      <c r="T9" s="269">
        <v>5</v>
      </c>
      <c r="U9" s="275">
        <v>0.61859999999999993</v>
      </c>
      <c r="V9" s="275">
        <v>0.98780000000000001</v>
      </c>
      <c r="W9" s="275">
        <v>0.24949999999999997</v>
      </c>
      <c r="X9" s="268"/>
      <c r="Y9" s="269">
        <v>5</v>
      </c>
      <c r="Z9" s="275">
        <v>0.174619</v>
      </c>
      <c r="AA9" s="309">
        <v>0.36813200000000001</v>
      </c>
      <c r="AB9" s="309">
        <v>-1.8893E-2</v>
      </c>
      <c r="AC9"/>
      <c r="AD9"/>
      <c r="AE9"/>
    </row>
    <row r="10" spans="1:31">
      <c r="A10" s="272"/>
      <c r="B10" s="165"/>
      <c r="C10" s="165"/>
      <c r="D10" s="165"/>
      <c r="E10" s="165"/>
      <c r="F10" s="165"/>
      <c r="G10" s="165"/>
      <c r="H10" s="165"/>
      <c r="I10" s="165"/>
      <c r="J10" s="165"/>
      <c r="K10" s="165"/>
      <c r="L10" s="165"/>
      <c r="M10" s="165"/>
      <c r="N10" s="165"/>
      <c r="O10" s="165"/>
      <c r="P10" s="165"/>
      <c r="Q10" s="165"/>
      <c r="R10" s="165"/>
      <c r="T10" s="269">
        <v>6</v>
      </c>
      <c r="U10" s="275">
        <v>0.62739999999999996</v>
      </c>
      <c r="V10" s="275">
        <v>1.0164</v>
      </c>
      <c r="W10" s="275">
        <v>0.23849999999999999</v>
      </c>
      <c r="X10" s="268"/>
      <c r="Y10" s="269">
        <v>6</v>
      </c>
      <c r="Z10" s="275">
        <v>5.1799999999999999E-2</v>
      </c>
      <c r="AA10" s="309">
        <v>0.240174</v>
      </c>
      <c r="AB10" s="309">
        <v>-0.136574</v>
      </c>
      <c r="AC10"/>
      <c r="AD10"/>
      <c r="AE10"/>
    </row>
    <row r="11" spans="1:31">
      <c r="A11" s="274"/>
      <c r="B11" s="165"/>
      <c r="C11" s="165"/>
      <c r="D11" s="165"/>
      <c r="E11" s="165"/>
      <c r="F11" s="165"/>
      <c r="G11" s="165"/>
      <c r="H11" s="165"/>
      <c r="I11" s="165"/>
      <c r="J11" s="165"/>
      <c r="K11" s="165"/>
      <c r="L11" s="165"/>
      <c r="M11" s="165"/>
      <c r="N11" s="165"/>
      <c r="O11" s="165"/>
      <c r="P11" s="165"/>
      <c r="Q11" s="165"/>
      <c r="R11" s="165"/>
      <c r="T11" s="269">
        <v>7</v>
      </c>
      <c r="U11" s="275">
        <v>0.62919999999999998</v>
      </c>
      <c r="V11" s="275">
        <v>1.0345</v>
      </c>
      <c r="W11" s="275">
        <v>0.22399999999999998</v>
      </c>
      <c r="X11" s="268"/>
      <c r="Y11" s="269">
        <v>7</v>
      </c>
      <c r="Z11" s="275">
        <v>-2.5357000000000001E-2</v>
      </c>
      <c r="AA11" s="309">
        <v>0.15229799999999999</v>
      </c>
      <c r="AB11" s="309">
        <v>-0.203012</v>
      </c>
      <c r="AC11"/>
      <c r="AD11"/>
      <c r="AE11"/>
    </row>
    <row r="12" spans="1:31">
      <c r="A12" s="274"/>
      <c r="B12" s="165"/>
      <c r="C12" s="165"/>
      <c r="D12" s="165"/>
      <c r="E12" s="165"/>
      <c r="F12" s="165"/>
      <c r="G12" s="165"/>
      <c r="H12" s="165"/>
      <c r="I12" s="165"/>
      <c r="J12" s="165"/>
      <c r="K12" s="165"/>
      <c r="L12" s="165"/>
      <c r="M12" s="165"/>
      <c r="N12" s="165"/>
      <c r="O12" s="165"/>
      <c r="P12" s="165"/>
      <c r="Q12" s="165"/>
      <c r="R12" s="165"/>
      <c r="T12" s="269">
        <v>8</v>
      </c>
      <c r="U12" s="275">
        <v>0.61599999999999999</v>
      </c>
      <c r="V12" s="275">
        <v>1.0330000000000001</v>
      </c>
      <c r="W12" s="275">
        <v>0.19900000000000001</v>
      </c>
      <c r="X12" s="268"/>
      <c r="Y12" s="269">
        <v>8</v>
      </c>
      <c r="Z12" s="275">
        <v>-4.6709000000000001E-2</v>
      </c>
      <c r="AA12" s="309">
        <v>0.117267</v>
      </c>
      <c r="AB12" s="309">
        <v>-0.21068600000000001</v>
      </c>
      <c r="AC12"/>
      <c r="AD12"/>
      <c r="AE12"/>
    </row>
    <row r="13" spans="1:31">
      <c r="A13" s="274"/>
      <c r="B13" s="165"/>
      <c r="C13" s="165"/>
      <c r="D13" s="165"/>
      <c r="E13" s="165"/>
      <c r="F13" s="165"/>
      <c r="G13" s="165"/>
      <c r="H13" s="165"/>
      <c r="I13" s="165"/>
      <c r="J13" s="165"/>
      <c r="K13" s="165"/>
      <c r="L13" s="165"/>
      <c r="M13" s="165"/>
      <c r="N13" s="165"/>
      <c r="O13" s="165"/>
      <c r="P13" s="165"/>
      <c r="Q13" s="165"/>
      <c r="R13" s="165"/>
      <c r="T13" s="269">
        <v>9</v>
      </c>
      <c r="U13" s="275">
        <v>0.6149</v>
      </c>
      <c r="V13" s="275">
        <v>1.0390999999999999</v>
      </c>
      <c r="W13" s="275">
        <v>0.19070000000000001</v>
      </c>
      <c r="X13" s="268"/>
      <c r="Y13" s="269">
        <v>9</v>
      </c>
      <c r="Z13" s="275">
        <v>-4.3531E-2</v>
      </c>
      <c r="AA13" s="309">
        <v>0.108794</v>
      </c>
      <c r="AB13" s="309">
        <v>-0.195857</v>
      </c>
      <c r="AC13"/>
      <c r="AD13"/>
      <c r="AE13"/>
    </row>
    <row r="14" spans="1:31">
      <c r="A14" s="274"/>
      <c r="B14" s="165"/>
      <c r="C14" s="165"/>
      <c r="D14" s="165"/>
      <c r="E14" s="165"/>
      <c r="F14" s="165"/>
      <c r="G14" s="165"/>
      <c r="H14" s="165"/>
      <c r="I14" s="165"/>
      <c r="J14" s="165"/>
      <c r="K14" s="165"/>
      <c r="L14" s="165"/>
      <c r="M14" s="165"/>
      <c r="N14" s="165"/>
      <c r="O14" s="165"/>
      <c r="P14" s="165"/>
      <c r="Q14" s="165"/>
      <c r="R14" s="165"/>
      <c r="T14" s="269">
        <v>10</v>
      </c>
      <c r="U14" s="275">
        <v>0.57869999999999999</v>
      </c>
      <c r="V14" s="275">
        <v>1.0025999999999999</v>
      </c>
      <c r="W14" s="275">
        <v>0.15490000000000001</v>
      </c>
      <c r="X14" s="268"/>
      <c r="Y14" s="269">
        <v>10</v>
      </c>
      <c r="Z14" s="275">
        <v>-1.6497000000000001E-2</v>
      </c>
      <c r="AA14" s="309">
        <v>0.12531100000000001</v>
      </c>
      <c r="AB14" s="309">
        <v>-0.158306</v>
      </c>
      <c r="AC14"/>
      <c r="AD14"/>
      <c r="AE14"/>
    </row>
    <row r="15" spans="1:31">
      <c r="A15" s="274"/>
      <c r="B15" s="165"/>
      <c r="C15" s="165"/>
      <c r="D15" s="165"/>
      <c r="E15" s="165"/>
      <c r="F15" s="165"/>
      <c r="G15" s="165"/>
      <c r="H15" s="165"/>
      <c r="I15" s="165"/>
      <c r="J15" s="165"/>
      <c r="K15" s="165"/>
      <c r="L15" s="165"/>
      <c r="M15" s="165"/>
      <c r="N15" s="165"/>
      <c r="O15" s="165"/>
      <c r="P15" s="165"/>
      <c r="Q15" s="165"/>
      <c r="R15" s="165"/>
      <c r="T15" s="269">
        <v>11</v>
      </c>
      <c r="U15" s="275">
        <v>0.51349999999999996</v>
      </c>
      <c r="V15" s="275">
        <v>0.93269999999999997</v>
      </c>
      <c r="W15" s="275">
        <v>9.4399999999999998E-2</v>
      </c>
      <c r="X15" s="268"/>
      <c r="Y15" s="269">
        <v>11</v>
      </c>
      <c r="Z15" s="275">
        <v>2.1912999999999998E-2</v>
      </c>
      <c r="AA15" s="309">
        <v>0.15507199999999999</v>
      </c>
      <c r="AB15" s="309">
        <v>-0.111245</v>
      </c>
      <c r="AC15"/>
      <c r="AD15"/>
      <c r="AE15"/>
    </row>
    <row r="16" spans="1:31">
      <c r="A16" s="274"/>
      <c r="B16" s="165"/>
      <c r="C16" s="165"/>
      <c r="D16" s="165"/>
      <c r="E16" s="165"/>
      <c r="F16" s="165"/>
      <c r="G16" s="165"/>
      <c r="H16" s="165"/>
      <c r="I16" s="165"/>
      <c r="J16" s="165"/>
      <c r="K16" s="165"/>
      <c r="L16" s="165"/>
      <c r="M16" s="165"/>
      <c r="N16" s="165"/>
      <c r="O16" s="165"/>
      <c r="P16" s="165"/>
      <c r="Q16" s="165"/>
      <c r="R16" s="165"/>
      <c r="T16" s="269">
        <v>12</v>
      </c>
      <c r="U16" s="275">
        <v>0.43920000000000003</v>
      </c>
      <c r="V16" s="275">
        <v>0.85030000000000006</v>
      </c>
      <c r="W16" s="275">
        <v>2.8200000000000003E-2</v>
      </c>
      <c r="X16" s="268"/>
      <c r="Y16" s="269">
        <v>12</v>
      </c>
      <c r="Z16" s="275">
        <v>6.0595000000000003E-2</v>
      </c>
      <c r="AA16" s="309">
        <v>0.18693100000000001</v>
      </c>
      <c r="AB16" s="309">
        <v>-6.5740000000000007E-2</v>
      </c>
      <c r="AC16"/>
      <c r="AD16"/>
      <c r="AE16"/>
    </row>
    <row r="17" spans="1:31">
      <c r="A17" s="274"/>
      <c r="B17" s="165"/>
      <c r="C17" s="165"/>
      <c r="D17" s="165"/>
      <c r="E17" s="165"/>
      <c r="F17" s="165"/>
      <c r="G17" s="165"/>
      <c r="H17" s="165"/>
      <c r="I17" s="165"/>
      <c r="J17" s="165"/>
      <c r="K17" s="165"/>
      <c r="L17" s="165"/>
      <c r="M17" s="165"/>
      <c r="N17" s="165"/>
      <c r="O17" s="165"/>
      <c r="P17" s="165"/>
      <c r="Q17" s="165"/>
      <c r="R17" s="165"/>
      <c r="T17" s="227"/>
      <c r="U17" s="162"/>
      <c r="V17" s="162"/>
      <c r="W17" s="162"/>
      <c r="X17"/>
      <c r="Y17"/>
      <c r="Z17"/>
      <c r="AA17"/>
      <c r="AB17"/>
      <c r="AC17"/>
      <c r="AD17"/>
      <c r="AE17"/>
    </row>
    <row r="18" spans="1:31">
      <c r="A18" s="272"/>
      <c r="B18" s="165"/>
      <c r="C18" s="165"/>
      <c r="D18" s="165"/>
      <c r="E18" s="165"/>
      <c r="F18" s="165"/>
      <c r="G18" s="165"/>
      <c r="H18" s="165"/>
      <c r="I18" s="165"/>
      <c r="J18" s="165"/>
      <c r="K18" s="165"/>
      <c r="L18" s="165"/>
      <c r="M18" s="165"/>
      <c r="N18" s="165"/>
      <c r="O18" s="165"/>
      <c r="P18" s="165"/>
      <c r="Q18" s="165"/>
      <c r="R18" s="165"/>
      <c r="X18"/>
      <c r="Y18"/>
      <c r="Z18"/>
      <c r="AA18"/>
      <c r="AB18"/>
      <c r="AC18"/>
      <c r="AD18"/>
      <c r="AE18"/>
    </row>
    <row r="19" spans="1:31">
      <c r="A19" s="272"/>
      <c r="B19" s="165"/>
      <c r="C19" s="165"/>
      <c r="D19" s="165"/>
      <c r="E19" s="165"/>
      <c r="F19" s="165"/>
      <c r="G19" s="165"/>
      <c r="H19" s="165"/>
      <c r="I19" s="165"/>
      <c r="J19" s="165"/>
      <c r="K19" s="165"/>
      <c r="L19" s="165"/>
      <c r="M19" s="165"/>
      <c r="N19" s="165"/>
      <c r="O19" s="165"/>
      <c r="P19" s="165"/>
      <c r="Q19" s="165"/>
      <c r="R19" s="165"/>
      <c r="X19"/>
      <c r="Y19"/>
      <c r="Z19"/>
      <c r="AA19"/>
      <c r="AB19"/>
      <c r="AC19"/>
      <c r="AD19"/>
      <c r="AE19"/>
    </row>
    <row r="20" spans="1:31">
      <c r="A20" s="272"/>
      <c r="B20" s="165"/>
      <c r="C20" s="165"/>
      <c r="D20" s="165"/>
      <c r="E20" s="165"/>
      <c r="F20" s="165"/>
      <c r="G20" s="165"/>
      <c r="H20" s="165"/>
      <c r="I20" s="165"/>
      <c r="J20" s="165"/>
      <c r="K20" s="165"/>
      <c r="L20" s="165"/>
      <c r="M20" s="165"/>
      <c r="N20" s="165"/>
      <c r="O20" s="165"/>
      <c r="P20" s="165"/>
      <c r="Q20" s="165"/>
      <c r="R20" s="165"/>
      <c r="X20"/>
      <c r="Y20"/>
      <c r="Z20"/>
      <c r="AA20"/>
      <c r="AB20"/>
      <c r="AC20"/>
      <c r="AD20"/>
      <c r="AE20"/>
    </row>
    <row r="21" spans="1:31">
      <c r="A21" s="272"/>
      <c r="B21" s="165"/>
      <c r="C21" s="165"/>
      <c r="D21" s="165"/>
      <c r="E21" s="165"/>
      <c r="F21" s="165"/>
      <c r="G21" s="165"/>
      <c r="H21" s="165"/>
      <c r="I21" s="165"/>
      <c r="J21" s="165"/>
      <c r="K21" s="165"/>
      <c r="L21" s="165"/>
      <c r="M21" s="165"/>
      <c r="N21" s="165"/>
      <c r="O21" s="165"/>
      <c r="P21" s="165"/>
      <c r="Q21" s="165"/>
      <c r="R21" s="165"/>
      <c r="X21"/>
      <c r="Y21"/>
      <c r="Z21"/>
      <c r="AA21"/>
      <c r="AB21"/>
      <c r="AC21"/>
      <c r="AD21"/>
      <c r="AE21"/>
    </row>
    <row r="22" spans="1:31">
      <c r="A22" s="272"/>
      <c r="B22" s="165"/>
      <c r="C22" s="165"/>
      <c r="D22" s="165"/>
      <c r="E22" s="165"/>
      <c r="F22" s="165"/>
      <c r="G22" s="165"/>
      <c r="H22" s="165"/>
      <c r="I22" s="165"/>
      <c r="J22" s="165"/>
      <c r="K22" s="165"/>
      <c r="L22" s="165"/>
      <c r="M22" s="165"/>
      <c r="N22" s="165"/>
      <c r="O22" s="165"/>
      <c r="P22" s="165"/>
      <c r="Q22" s="165"/>
      <c r="R22" s="165"/>
      <c r="Y22"/>
      <c r="Z22"/>
      <c r="AA22"/>
      <c r="AB22"/>
      <c r="AC22"/>
      <c r="AD22"/>
      <c r="AE22"/>
    </row>
    <row r="23" spans="1:31">
      <c r="A23" s="272"/>
      <c r="B23" s="272"/>
      <c r="C23" s="272"/>
      <c r="D23" s="272"/>
      <c r="E23" s="272"/>
      <c r="F23" s="272"/>
      <c r="G23" s="272"/>
      <c r="H23" s="272"/>
      <c r="I23" s="272"/>
      <c r="J23" s="272"/>
      <c r="K23" s="272"/>
      <c r="L23" s="272"/>
      <c r="M23" s="165"/>
      <c r="N23" s="165"/>
      <c r="O23" s="165"/>
      <c r="P23" s="165"/>
      <c r="Q23" s="165"/>
      <c r="R23" s="165"/>
      <c r="Y23"/>
      <c r="Z23"/>
      <c r="AA23"/>
      <c r="AB23"/>
      <c r="AC23"/>
      <c r="AD23"/>
      <c r="AE23"/>
    </row>
    <row r="24" spans="1:31">
      <c r="A24" s="272"/>
      <c r="B24" s="272"/>
      <c r="C24" s="272"/>
      <c r="D24" s="272"/>
      <c r="E24" s="272"/>
      <c r="F24" s="272"/>
      <c r="G24" s="272"/>
      <c r="H24" s="272"/>
      <c r="I24" s="272"/>
      <c r="J24" s="272"/>
      <c r="K24" s="272"/>
      <c r="L24" s="272"/>
      <c r="M24" s="165"/>
      <c r="N24" s="165"/>
      <c r="O24" s="165"/>
      <c r="P24" s="165"/>
      <c r="Q24" s="165"/>
      <c r="R24" s="165"/>
      <c r="Y24"/>
      <c r="Z24"/>
      <c r="AA24"/>
      <c r="AB24"/>
      <c r="AC24"/>
      <c r="AD24"/>
      <c r="AE24"/>
    </row>
    <row r="25" spans="1:31">
      <c r="A25" s="272"/>
      <c r="B25" s="272"/>
      <c r="C25" s="272"/>
      <c r="D25" s="272"/>
      <c r="E25" s="272"/>
      <c r="F25" s="272"/>
      <c r="G25" s="272"/>
      <c r="H25" s="272"/>
      <c r="I25" s="272"/>
      <c r="J25" s="272"/>
      <c r="K25" s="272"/>
      <c r="L25" s="272"/>
      <c r="M25" s="165"/>
      <c r="N25" s="165"/>
      <c r="O25" s="165"/>
      <c r="P25" s="165"/>
      <c r="Q25" s="165"/>
      <c r="R25" s="165"/>
      <c r="Y25"/>
      <c r="Z25"/>
      <c r="AA25"/>
      <c r="AB25"/>
      <c r="AC25"/>
      <c r="AD25"/>
      <c r="AE25"/>
    </row>
    <row r="26" spans="1:31">
      <c r="A26" s="272"/>
      <c r="B26" s="272"/>
      <c r="C26" s="272"/>
      <c r="D26" s="272"/>
      <c r="E26" s="272"/>
      <c r="F26" s="272"/>
      <c r="G26" s="272"/>
      <c r="H26" s="272"/>
      <c r="I26" s="272"/>
      <c r="J26" s="272"/>
      <c r="K26" s="272"/>
      <c r="L26" s="272"/>
      <c r="M26" s="165"/>
      <c r="N26" s="165"/>
      <c r="O26" s="165"/>
      <c r="P26" s="165"/>
      <c r="Q26" s="165"/>
      <c r="R26" s="165"/>
      <c r="Y26"/>
      <c r="Z26"/>
      <c r="AA26"/>
      <c r="AB26"/>
      <c r="AC26"/>
      <c r="AD26"/>
      <c r="AE26"/>
    </row>
    <row r="27" spans="1:31">
      <c r="A27" s="272"/>
      <c r="B27" s="272"/>
      <c r="C27" s="272"/>
      <c r="D27" s="272"/>
      <c r="E27" s="272"/>
      <c r="F27" s="272"/>
      <c r="G27" s="272"/>
      <c r="H27" s="272"/>
      <c r="I27" s="272"/>
      <c r="J27" s="272"/>
      <c r="K27" s="272"/>
      <c r="L27" s="272"/>
      <c r="M27" s="165"/>
      <c r="N27" s="165"/>
      <c r="O27" s="165"/>
      <c r="P27" s="165"/>
      <c r="Q27" s="165"/>
      <c r="R27" s="165"/>
      <c r="Y27"/>
      <c r="Z27"/>
      <c r="AA27"/>
      <c r="AB27"/>
      <c r="AC27"/>
      <c r="AD27"/>
      <c r="AE27"/>
    </row>
    <row r="28" spans="1:31">
      <c r="M28"/>
      <c r="N28"/>
      <c r="O28"/>
      <c r="P28"/>
      <c r="Q28"/>
      <c r="R28"/>
      <c r="Y28"/>
      <c r="Z28"/>
      <c r="AA28"/>
      <c r="AB28"/>
      <c r="AC28"/>
      <c r="AD28"/>
      <c r="AE28"/>
    </row>
    <row r="29" spans="1:31">
      <c r="M29"/>
      <c r="N29"/>
      <c r="O29"/>
      <c r="P29"/>
      <c r="Q29"/>
      <c r="R29"/>
    </row>
    <row r="30" spans="1:31">
      <c r="M30"/>
      <c r="N30"/>
      <c r="O30"/>
      <c r="P30"/>
      <c r="Q30"/>
      <c r="R30"/>
    </row>
    <row r="31" spans="1:31">
      <c r="M31"/>
      <c r="N31"/>
      <c r="O31"/>
      <c r="P31"/>
      <c r="Q31"/>
      <c r="R31"/>
    </row>
    <row r="32" spans="1:31">
      <c r="M32"/>
      <c r="N32"/>
      <c r="O32"/>
      <c r="P32"/>
      <c r="Q32"/>
      <c r="R32"/>
      <c r="T32"/>
      <c r="U32"/>
    </row>
    <row r="33" spans="13:18">
      <c r="M33"/>
      <c r="N33"/>
      <c r="O33"/>
      <c r="P33"/>
      <c r="Q33"/>
      <c r="R33"/>
    </row>
    <row r="34" spans="13:18">
      <c r="M34"/>
      <c r="N34"/>
      <c r="O34"/>
      <c r="P34"/>
      <c r="Q34"/>
      <c r="R34"/>
    </row>
    <row r="35" spans="13:18">
      <c r="M35"/>
      <c r="N35"/>
      <c r="O35"/>
      <c r="P35"/>
      <c r="Q35"/>
      <c r="R35"/>
    </row>
    <row r="36" spans="13:18">
      <c r="M36"/>
      <c r="N36"/>
      <c r="O36"/>
      <c r="P36"/>
      <c r="Q36"/>
      <c r="R36"/>
    </row>
    <row r="37" spans="13:18">
      <c r="M37"/>
      <c r="N37"/>
      <c r="O37"/>
      <c r="P37"/>
      <c r="Q37"/>
      <c r="R37"/>
    </row>
    <row r="38" spans="13:18">
      <c r="M38"/>
      <c r="N38"/>
      <c r="O38"/>
      <c r="P38"/>
      <c r="Q38"/>
      <c r="R38"/>
    </row>
  </sheetData>
  <pageMargins left="0.75" right="0.75" top="1" bottom="1" header="0.5" footer="0.5"/>
  <pageSetup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09F3F-1673-4D44-A806-3726F0718C51}">
  <sheetPr>
    <pageSetUpPr autoPageBreaks="0"/>
  </sheetPr>
  <dimension ref="B1:AP62"/>
  <sheetViews>
    <sheetView showGridLines="0" zoomScaleNormal="100" workbookViewId="0">
      <selection activeCell="B88" sqref="B88:K88"/>
    </sheetView>
  </sheetViews>
  <sheetFormatPr defaultColWidth="9" defaultRowHeight="15"/>
  <cols>
    <col min="1" max="3" width="9" style="310"/>
    <col min="4" max="4" width="3" style="310" customWidth="1"/>
    <col min="5" max="13" width="9" style="310"/>
    <col min="14" max="14" width="8.7109375" style="310" customWidth="1"/>
    <col min="15" max="24" width="9" style="310"/>
    <col min="26" max="26" width="9.140625" style="310" customWidth="1"/>
    <col min="27" max="16384" width="9" style="310"/>
  </cols>
  <sheetData>
    <row r="1" spans="2:41">
      <c r="B1" s="252" t="s">
        <v>40</v>
      </c>
    </row>
    <row r="2" spans="2:41">
      <c r="B2" s="253" t="s">
        <v>584</v>
      </c>
    </row>
    <row r="4" spans="2:41">
      <c r="B4" s="311"/>
      <c r="C4" s="311"/>
      <c r="D4" s="312"/>
      <c r="E4" s="312"/>
      <c r="F4" s="312"/>
      <c r="G4" s="312"/>
      <c r="H4" s="312"/>
      <c r="I4" s="312"/>
      <c r="J4" s="312"/>
      <c r="K4" s="312"/>
      <c r="L4" s="312"/>
      <c r="M4" s="312"/>
      <c r="N4" s="312"/>
      <c r="O4" s="312"/>
      <c r="P4" s="312"/>
      <c r="Q4" s="312"/>
      <c r="R4" s="312"/>
      <c r="S4" s="312"/>
      <c r="Z4" s="313"/>
      <c r="AA4" s="314"/>
      <c r="AB4" s="314"/>
      <c r="AC4" s="314"/>
      <c r="AD4" s="314"/>
      <c r="AE4" s="314"/>
      <c r="AF4" s="314"/>
      <c r="AG4" s="314"/>
      <c r="AH4" s="314"/>
      <c r="AI4" s="314"/>
      <c r="AJ4" s="314"/>
      <c r="AK4" s="314"/>
      <c r="AL4" s="314"/>
      <c r="AM4" s="314"/>
      <c r="AN4" s="314"/>
      <c r="AO4" s="314"/>
    </row>
    <row r="5" spans="2:41">
      <c r="B5" s="315"/>
      <c r="C5" s="315"/>
      <c r="D5" s="312"/>
      <c r="E5" s="312"/>
      <c r="F5" s="312"/>
      <c r="G5" s="312"/>
      <c r="H5" s="312"/>
      <c r="I5" s="312"/>
      <c r="J5" s="312"/>
      <c r="K5" s="312"/>
      <c r="L5" s="312"/>
      <c r="M5" s="312"/>
      <c r="N5" s="312"/>
      <c r="O5" s="312"/>
      <c r="P5" s="312"/>
      <c r="Q5" s="312"/>
      <c r="R5" s="312"/>
      <c r="S5" s="312"/>
      <c r="Z5" s="314"/>
      <c r="AA5" s="314"/>
      <c r="AB5" s="314"/>
      <c r="AC5" s="314"/>
      <c r="AD5" s="314"/>
      <c r="AE5" s="314"/>
      <c r="AF5" s="314"/>
      <c r="AG5" s="314"/>
      <c r="AH5" s="314"/>
      <c r="AI5" s="314"/>
      <c r="AJ5" s="314"/>
      <c r="AK5" s="314"/>
      <c r="AL5" s="314"/>
      <c r="AM5" s="314"/>
      <c r="AN5" s="314"/>
      <c r="AO5" s="314"/>
    </row>
    <row r="6" spans="2:41">
      <c r="B6" s="315"/>
      <c r="C6" s="315"/>
      <c r="D6" s="312"/>
      <c r="E6" s="312"/>
      <c r="F6" s="312"/>
      <c r="G6" s="312"/>
      <c r="H6" s="312"/>
      <c r="I6" s="312"/>
      <c r="J6" s="312"/>
      <c r="K6" s="312"/>
      <c r="L6" s="312"/>
      <c r="M6" s="312"/>
      <c r="N6" s="312"/>
      <c r="O6" s="312"/>
      <c r="P6" s="312"/>
      <c r="Q6" s="312"/>
      <c r="R6" s="312"/>
      <c r="S6" s="312"/>
      <c r="Z6" s="314"/>
      <c r="AA6" s="610" t="s">
        <v>585</v>
      </c>
      <c r="AB6" s="610"/>
      <c r="AC6" s="610"/>
      <c r="AD6" s="610"/>
      <c r="AE6" s="610"/>
      <c r="AF6" s="610"/>
      <c r="AG6" s="610"/>
      <c r="AH6" s="610"/>
      <c r="AI6" s="610"/>
      <c r="AJ6" s="610"/>
      <c r="AK6" s="610"/>
      <c r="AL6" s="610"/>
      <c r="AM6" s="316"/>
      <c r="AN6" s="316"/>
      <c r="AO6" s="314"/>
    </row>
    <row r="7" spans="2:41">
      <c r="B7" s="315"/>
      <c r="C7" s="315"/>
      <c r="D7" s="312"/>
      <c r="E7" s="312"/>
      <c r="F7" s="312"/>
      <c r="G7" s="312"/>
      <c r="H7" s="312"/>
      <c r="I7" s="312"/>
      <c r="J7" s="312"/>
      <c r="K7" s="312"/>
      <c r="L7" s="312"/>
      <c r="M7" s="312"/>
      <c r="N7" s="312"/>
      <c r="O7" s="312"/>
      <c r="P7" s="312"/>
      <c r="Q7" s="312"/>
      <c r="R7" s="312"/>
      <c r="S7" s="312"/>
      <c r="Z7" s="314"/>
      <c r="AA7" s="317"/>
      <c r="AB7" s="317" t="s">
        <v>586</v>
      </c>
      <c r="AC7" s="317" t="s">
        <v>587</v>
      </c>
      <c r="AD7" s="317" t="s">
        <v>543</v>
      </c>
      <c r="AE7" s="317" t="s">
        <v>588</v>
      </c>
      <c r="AF7" s="317" t="s">
        <v>589</v>
      </c>
      <c r="AG7" s="317" t="s">
        <v>590</v>
      </c>
      <c r="AH7" s="317" t="s">
        <v>591</v>
      </c>
      <c r="AI7" s="317" t="s">
        <v>592</v>
      </c>
      <c r="AJ7" s="317" t="s">
        <v>593</v>
      </c>
      <c r="AK7" s="317" t="s">
        <v>594</v>
      </c>
      <c r="AL7" s="317" t="s">
        <v>595</v>
      </c>
      <c r="AM7" s="316"/>
      <c r="AN7" s="316"/>
      <c r="AO7" s="314"/>
    </row>
    <row r="8" spans="2:41">
      <c r="B8" s="315"/>
      <c r="C8" s="315"/>
      <c r="D8" s="312"/>
      <c r="E8" s="312"/>
      <c r="F8" s="312"/>
      <c r="G8" s="312"/>
      <c r="H8" s="312"/>
      <c r="I8" s="312"/>
      <c r="J8" s="312"/>
      <c r="K8" s="312"/>
      <c r="L8" s="312"/>
      <c r="M8" s="312"/>
      <c r="N8" s="312"/>
      <c r="O8" s="312"/>
      <c r="P8" s="312"/>
      <c r="Q8" s="312"/>
      <c r="R8" s="312"/>
      <c r="S8" s="312"/>
      <c r="Z8" s="314"/>
      <c r="AA8" s="316">
        <v>0</v>
      </c>
      <c r="AB8" s="318">
        <v>2.5026045407798221</v>
      </c>
      <c r="AC8" s="318">
        <v>-0.52090815596430007</v>
      </c>
      <c r="AD8" s="318">
        <v>-0.73800270311987082</v>
      </c>
      <c r="AE8" s="318">
        <v>-1.1156224931591541</v>
      </c>
      <c r="AF8" s="318">
        <v>-1.0186141882762909</v>
      </c>
      <c r="AG8" s="318">
        <v>-0.90277029739365788</v>
      </c>
      <c r="AH8" s="318">
        <v>-0.77332217184440855</v>
      </c>
      <c r="AI8" s="318">
        <v>-0.65870100851648461</v>
      </c>
      <c r="AJ8" s="318">
        <v>-0.57822546890598348</v>
      </c>
      <c r="AK8" s="318">
        <v>-0.50791968361955275</v>
      </c>
      <c r="AL8" s="318">
        <v>-0.52243011856472998</v>
      </c>
      <c r="AM8" s="316"/>
      <c r="AN8" s="316"/>
      <c r="AO8" s="314"/>
    </row>
    <row r="9" spans="2:41">
      <c r="B9" s="315"/>
      <c r="C9" s="315"/>
      <c r="D9" s="312"/>
      <c r="E9" s="312"/>
      <c r="F9" s="312"/>
      <c r="G9" s="312"/>
      <c r="H9" s="312"/>
      <c r="I9" s="312"/>
      <c r="J9" s="312"/>
      <c r="K9" s="312"/>
      <c r="L9" s="312"/>
      <c r="M9" s="312"/>
      <c r="N9" s="312"/>
      <c r="O9" s="312"/>
      <c r="P9" s="312"/>
      <c r="Q9" s="312"/>
      <c r="R9" s="312"/>
      <c r="S9" s="312"/>
      <c r="Z9" s="314"/>
      <c r="AA9" s="316">
        <v>1</v>
      </c>
      <c r="AB9" s="318">
        <v>1.163346793154616</v>
      </c>
      <c r="AC9" s="318">
        <v>-0.39639762199826539</v>
      </c>
      <c r="AD9" s="318">
        <v>-0.53893644011299424</v>
      </c>
      <c r="AE9" s="318">
        <v>-0.84565151607277189</v>
      </c>
      <c r="AF9" s="318">
        <v>-0.77426343469693737</v>
      </c>
      <c r="AG9" s="318">
        <v>-0.68557238024796241</v>
      </c>
      <c r="AH9" s="318">
        <v>-0.5741014244467435</v>
      </c>
      <c r="AI9" s="318">
        <v>-0.46836536582930749</v>
      </c>
      <c r="AJ9" s="318">
        <v>-0.39533872802693132</v>
      </c>
      <c r="AK9" s="318">
        <v>-0.3326976516338902</v>
      </c>
      <c r="AL9" s="318">
        <v>-0.38151150985802779</v>
      </c>
      <c r="AM9" s="316"/>
      <c r="AN9" s="316"/>
      <c r="AO9" s="314"/>
    </row>
    <row r="10" spans="2:41">
      <c r="B10" s="315"/>
      <c r="C10" s="315"/>
      <c r="D10" s="312"/>
      <c r="E10" s="312"/>
      <c r="F10" s="312"/>
      <c r="G10" s="312"/>
      <c r="H10" s="312"/>
      <c r="I10" s="312"/>
      <c r="J10" s="312"/>
      <c r="K10" s="312"/>
      <c r="L10" s="312"/>
      <c r="M10" s="312"/>
      <c r="N10" s="312"/>
      <c r="O10" s="312"/>
      <c r="P10" s="312"/>
      <c r="Q10" s="312"/>
      <c r="R10" s="312"/>
      <c r="S10" s="312"/>
      <c r="Z10" s="314"/>
      <c r="AA10" s="316">
        <v>2</v>
      </c>
      <c r="AB10" s="318">
        <v>0.8200920676869925</v>
      </c>
      <c r="AC10" s="318">
        <v>-0.30531903696485152</v>
      </c>
      <c r="AD10" s="318">
        <v>-0.39491338777861801</v>
      </c>
      <c r="AE10" s="318">
        <v>-0.64684576678268502</v>
      </c>
      <c r="AF10" s="318">
        <v>-0.59368108192355107</v>
      </c>
      <c r="AG10" s="318">
        <v>-0.52529942577871103</v>
      </c>
      <c r="AH10" s="318">
        <v>-0.42949883181510118</v>
      </c>
      <c r="AI10" s="318">
        <v>-0.33182241655434042</v>
      </c>
      <c r="AJ10" s="318">
        <v>-0.26571750226484608</v>
      </c>
      <c r="AK10" s="318">
        <v>-0.21007873826361301</v>
      </c>
      <c r="AL10" s="318">
        <v>-0.27955787159994888</v>
      </c>
      <c r="AM10" s="316"/>
      <c r="AN10" s="316"/>
      <c r="AO10" s="314"/>
    </row>
    <row r="11" spans="2:41">
      <c r="B11" s="315"/>
      <c r="C11" s="315"/>
      <c r="D11" s="312"/>
      <c r="E11" s="312"/>
      <c r="F11" s="312"/>
      <c r="G11" s="312"/>
      <c r="H11" s="312"/>
      <c r="I11" s="312"/>
      <c r="J11" s="312"/>
      <c r="K11" s="312"/>
      <c r="L11" s="312"/>
      <c r="M11" s="312"/>
      <c r="N11" s="312"/>
      <c r="O11" s="312"/>
      <c r="P11" s="312"/>
      <c r="Q11" s="312"/>
      <c r="R11" s="312"/>
      <c r="S11" s="312"/>
      <c r="Z11" s="314"/>
      <c r="AA11" s="316">
        <v>3</v>
      </c>
      <c r="AB11" s="318">
        <v>0.57223856252552074</v>
      </c>
      <c r="AC11" s="318">
        <v>-0.23840924631698079</v>
      </c>
      <c r="AD11" s="318">
        <v>-0.29061527001471132</v>
      </c>
      <c r="AE11" s="318">
        <v>-0.49965766489718061</v>
      </c>
      <c r="AF11" s="318">
        <v>-0.45945446947411939</v>
      </c>
      <c r="AG11" s="318">
        <v>-0.40639863555380279</v>
      </c>
      <c r="AH11" s="318">
        <v>-0.32419618638546288</v>
      </c>
      <c r="AI11" s="318">
        <v>-0.23409676041288871</v>
      </c>
      <c r="AJ11" s="318">
        <v>-0.1744060382555552</v>
      </c>
      <c r="AK11" s="318">
        <v>-0.1251245436925548</v>
      </c>
      <c r="AL11" s="318">
        <v>-0.20572543137698091</v>
      </c>
      <c r="AM11" s="316"/>
      <c r="AN11" s="316"/>
      <c r="AO11" s="314"/>
    </row>
    <row r="12" spans="2:41">
      <c r="B12" s="315"/>
      <c r="C12" s="315"/>
      <c r="D12" s="312"/>
      <c r="E12" s="312"/>
      <c r="F12" s="312"/>
      <c r="G12" s="312"/>
      <c r="H12" s="312"/>
      <c r="I12" s="312"/>
      <c r="J12" s="312"/>
      <c r="K12" s="312"/>
      <c r="L12" s="312"/>
      <c r="M12" s="312"/>
      <c r="N12" s="312"/>
      <c r="O12" s="312"/>
      <c r="P12" s="312"/>
      <c r="Q12" s="312"/>
      <c r="R12" s="312"/>
      <c r="S12" s="312"/>
      <c r="Z12" s="314"/>
      <c r="AA12" s="316">
        <v>4</v>
      </c>
      <c r="AB12" s="318">
        <v>0.39363748101887303</v>
      </c>
      <c r="AC12" s="318">
        <v>-0.18898747051978479</v>
      </c>
      <c r="AD12" s="318">
        <v>-0.2149961587455981</v>
      </c>
      <c r="AE12" s="318">
        <v>-0.38998729354257339</v>
      </c>
      <c r="AF12" s="318">
        <v>-0.35902553217140443</v>
      </c>
      <c r="AG12" s="318">
        <v>-0.31764277775571442</v>
      </c>
      <c r="AH12" s="318">
        <v>-0.24721086477891741</v>
      </c>
      <c r="AI12" s="318">
        <v>-0.16435010457083071</v>
      </c>
      <c r="AJ12" s="318">
        <v>-0.11058696251870639</v>
      </c>
      <c r="AK12" s="318">
        <v>-6.7048723362913037E-2</v>
      </c>
      <c r="AL12" s="318">
        <v>-0.15219480198598981</v>
      </c>
      <c r="AM12" s="316"/>
      <c r="AN12" s="316"/>
      <c r="AO12" s="314"/>
    </row>
    <row r="13" spans="2:41">
      <c r="B13" s="315"/>
      <c r="C13" s="315"/>
      <c r="D13" s="312"/>
      <c r="E13" s="312"/>
      <c r="F13" s="312"/>
      <c r="G13" s="312"/>
      <c r="H13" s="312"/>
      <c r="I13" s="312"/>
      <c r="J13" s="312"/>
      <c r="K13" s="312"/>
      <c r="L13" s="312"/>
      <c r="M13" s="312"/>
      <c r="N13" s="312"/>
      <c r="O13" s="312"/>
      <c r="P13" s="312"/>
      <c r="Q13" s="312"/>
      <c r="R13" s="312"/>
      <c r="S13" s="312"/>
      <c r="Z13" s="314"/>
      <c r="AA13" s="316">
        <v>5</v>
      </c>
      <c r="AB13" s="318">
        <v>0.26528730754770841</v>
      </c>
      <c r="AC13" s="318">
        <v>-0.152234412925393</v>
      </c>
      <c r="AD13" s="318">
        <v>-0.16008553494280861</v>
      </c>
      <c r="AE13" s="318">
        <v>-0.3076491817079493</v>
      </c>
      <c r="AF13" s="318">
        <v>-0.28331298416727191</v>
      </c>
      <c r="AG13" s="318">
        <v>-0.25090023067064687</v>
      </c>
      <c r="AH13" s="318">
        <v>-0.19066191847528169</v>
      </c>
      <c r="AI13" s="318">
        <v>-0.1147429750933074</v>
      </c>
      <c r="AJ13" s="318">
        <v>-6.6442521113653341E-2</v>
      </c>
      <c r="AK13" s="318">
        <v>-2.8072324746508118E-2</v>
      </c>
      <c r="AL13" s="318">
        <v>-0.1133236709127619</v>
      </c>
      <c r="AM13" s="316"/>
      <c r="AN13" s="316"/>
      <c r="AO13" s="314"/>
    </row>
    <row r="14" spans="2:41">
      <c r="B14" s="315"/>
      <c r="C14" s="315"/>
      <c r="D14" s="312"/>
      <c r="E14" s="312"/>
      <c r="F14" s="312"/>
      <c r="G14" s="312"/>
      <c r="H14" s="312"/>
      <c r="I14" s="312"/>
      <c r="J14" s="312"/>
      <c r="K14" s="312"/>
      <c r="L14" s="312"/>
      <c r="M14" s="312"/>
      <c r="N14" s="312"/>
      <c r="O14" s="312"/>
      <c r="P14" s="312"/>
      <c r="Q14" s="312"/>
      <c r="R14" s="312"/>
      <c r="S14" s="312"/>
      <c r="Z14" s="314"/>
      <c r="AA14" s="316">
        <v>6</v>
      </c>
      <c r="AB14" s="318">
        <v>0.17338169436382431</v>
      </c>
      <c r="AC14" s="318">
        <v>-0.12467342735530509</v>
      </c>
      <c r="AD14" s="318">
        <v>-0.1201353590636261</v>
      </c>
      <c r="AE14" s="318">
        <v>-0.24529219079681</v>
      </c>
      <c r="AF14" s="318">
        <v>-0.22573571520503649</v>
      </c>
      <c r="AG14" s="318">
        <v>-0.20029821594564659</v>
      </c>
      <c r="AH14" s="318">
        <v>-0.14889095080844481</v>
      </c>
      <c r="AI14" s="318">
        <v>-7.9608739818452262E-2</v>
      </c>
      <c r="AJ14" s="318">
        <v>-3.6328470103725752E-2</v>
      </c>
      <c r="AK14" s="318">
        <v>-2.5937025402016129E-3</v>
      </c>
      <c r="AL14" s="318">
        <v>-8.5043013584125721E-2</v>
      </c>
      <c r="AM14" s="316"/>
      <c r="AN14" s="316"/>
      <c r="AO14" s="314"/>
    </row>
    <row r="15" spans="2:41">
      <c r="B15" s="315"/>
      <c r="C15" s="315"/>
      <c r="D15" s="312"/>
      <c r="E15" s="312"/>
      <c r="F15" s="312"/>
      <c r="G15" s="312"/>
      <c r="H15" s="312"/>
      <c r="I15" s="312"/>
      <c r="J15" s="312"/>
      <c r="K15" s="312"/>
      <c r="L15" s="312"/>
      <c r="M15" s="312"/>
      <c r="N15" s="312"/>
      <c r="O15" s="312"/>
      <c r="P15" s="312"/>
      <c r="Q15" s="312"/>
      <c r="R15" s="312"/>
      <c r="S15" s="312"/>
      <c r="Z15" s="314"/>
      <c r="AA15" s="316">
        <v>7</v>
      </c>
      <c r="AB15" s="318">
        <v>0.1078894179515545</v>
      </c>
      <c r="AC15" s="318">
        <v>-0.1037956384877611</v>
      </c>
      <c r="AD15" s="318">
        <v>-9.0996861453430125E-2</v>
      </c>
      <c r="AE15" s="318">
        <v>-0.19758504760261181</v>
      </c>
      <c r="AF15" s="318">
        <v>-0.1815189336799328</v>
      </c>
      <c r="AG15" s="318">
        <v>-0.16157512063496729</v>
      </c>
      <c r="AH15" s="318">
        <v>-0.11782999670351969</v>
      </c>
      <c r="AI15" s="318">
        <v>-5.4854582342920691E-2</v>
      </c>
      <c r="AJ15" s="318">
        <v>-1.6174978185675419E-2</v>
      </c>
      <c r="AK15" s="318">
        <v>1.341327284924408E-2</v>
      </c>
      <c r="AL15" s="318">
        <v>-6.4415924812183362E-2</v>
      </c>
      <c r="AM15" s="316"/>
      <c r="AN15" s="316"/>
      <c r="AO15" s="314"/>
    </row>
    <row r="16" spans="2:41">
      <c r="B16" s="315"/>
      <c r="C16" s="315"/>
      <c r="D16" s="312"/>
      <c r="E16" s="312"/>
      <c r="F16" s="312"/>
      <c r="G16" s="312"/>
      <c r="H16" s="312"/>
      <c r="I16" s="312"/>
      <c r="J16" s="312"/>
      <c r="K16" s="312"/>
      <c r="L16" s="312"/>
      <c r="M16" s="312"/>
      <c r="N16" s="312"/>
      <c r="O16" s="312"/>
      <c r="P16" s="312"/>
      <c r="Q16" s="312"/>
      <c r="R16" s="312"/>
      <c r="S16" s="312"/>
      <c r="Z16" s="314"/>
      <c r="AA16" s="316">
        <v>8</v>
      </c>
      <c r="AB16" s="318">
        <v>6.1523265507625248E-2</v>
      </c>
      <c r="AC16" s="318">
        <v>-8.7790250244499643E-2</v>
      </c>
      <c r="AD16" s="318">
        <v>-6.9678133104011442E-2</v>
      </c>
      <c r="AE16" s="318">
        <v>-0.16067509192664181</v>
      </c>
      <c r="AF16" s="318">
        <v>-0.14719900337982941</v>
      </c>
      <c r="AG16" s="318">
        <v>-0.13164661802108971</v>
      </c>
      <c r="AH16" s="318">
        <v>-9.4552631688805497E-2</v>
      </c>
      <c r="AI16" s="318">
        <v>-3.752707219029016E-2</v>
      </c>
      <c r="AJ16" s="318">
        <v>-3.0520668416455432E-3</v>
      </c>
      <c r="AK16" s="318">
        <v>2.2835513198319269E-2</v>
      </c>
      <c r="AL16" s="318">
        <v>-4.9324438373772983E-2</v>
      </c>
      <c r="AM16" s="316"/>
      <c r="AN16" s="316"/>
      <c r="AO16" s="314"/>
    </row>
    <row r="17" spans="2:41">
      <c r="B17" s="315"/>
      <c r="C17" s="315"/>
      <c r="D17" s="312"/>
      <c r="E17" s="312"/>
      <c r="F17" s="312"/>
      <c r="G17" s="312"/>
      <c r="H17" s="312"/>
      <c r="I17" s="312"/>
      <c r="J17" s="312"/>
      <c r="K17" s="312"/>
      <c r="L17" s="312"/>
      <c r="M17" s="312"/>
      <c r="N17" s="312"/>
      <c r="O17" s="312"/>
      <c r="P17" s="312"/>
      <c r="Q17" s="312"/>
      <c r="R17" s="312"/>
      <c r="S17" s="312"/>
      <c r="Z17" s="314"/>
      <c r="AA17" s="316">
        <v>9</v>
      </c>
      <c r="AB17" s="318">
        <v>2.898985999127196E-2</v>
      </c>
      <c r="AC17" s="318">
        <v>-7.5349516294208496E-2</v>
      </c>
      <c r="AD17" s="318">
        <v>-5.4022019300799459E-2</v>
      </c>
      <c r="AE17" s="318">
        <v>-0.13179413046534211</v>
      </c>
      <c r="AF17" s="318">
        <v>-0.1202882233105599</v>
      </c>
      <c r="AG17" s="318">
        <v>-0.1082716616806787</v>
      </c>
      <c r="AH17" s="318">
        <v>-7.6950797121486919E-2</v>
      </c>
      <c r="AI17" s="318">
        <v>-2.5497325012281861E-2</v>
      </c>
      <c r="AJ17" s="318">
        <v>5.1454135627813039E-3</v>
      </c>
      <c r="AK17" s="318">
        <v>2.773683750677319E-2</v>
      </c>
      <c r="AL17" s="318">
        <v>-3.8241508697490108E-2</v>
      </c>
      <c r="AM17" s="316"/>
      <c r="AN17" s="316"/>
      <c r="AO17" s="314"/>
    </row>
    <row r="18" spans="2:41">
      <c r="B18" s="315"/>
      <c r="C18" s="315"/>
      <c r="D18" s="312"/>
      <c r="E18" s="312"/>
      <c r="F18" s="312"/>
      <c r="G18" s="312"/>
      <c r="H18" s="312"/>
      <c r="I18" s="312"/>
      <c r="J18" s="312"/>
      <c r="K18" s="312"/>
      <c r="L18" s="312"/>
      <c r="M18" s="312"/>
      <c r="N18" s="312"/>
      <c r="O18" s="312"/>
      <c r="P18" s="312"/>
      <c r="Q18" s="312"/>
      <c r="R18" s="312"/>
      <c r="S18" s="312"/>
      <c r="Z18" s="314"/>
      <c r="AA18" s="316">
        <v>10</v>
      </c>
      <c r="AB18" s="318">
        <v>6.4451656767357266E-3</v>
      </c>
      <c r="AC18" s="318">
        <v>-6.5528052662580938E-2</v>
      </c>
      <c r="AD18" s="318">
        <v>-4.2469368323091131E-2</v>
      </c>
      <c r="AE18" s="318">
        <v>-0.10888796527737329</v>
      </c>
      <c r="AF18" s="318">
        <v>-9.8927084862488066E-2</v>
      </c>
      <c r="AG18" s="318">
        <v>-8.9818086914115927E-2</v>
      </c>
      <c r="AH18" s="318">
        <v>-6.3504032294910057E-2</v>
      </c>
      <c r="AI18" s="318">
        <v>-1.7232840455273391E-2</v>
      </c>
      <c r="AJ18" s="318">
        <v>9.9261677182441062E-3</v>
      </c>
      <c r="AK18" s="318">
        <v>2.9587013049813989E-2</v>
      </c>
      <c r="AL18" s="318">
        <v>-3.0063415181428941E-2</v>
      </c>
      <c r="AM18" s="316"/>
      <c r="AN18" s="316"/>
      <c r="AO18" s="314"/>
    </row>
    <row r="19" spans="2:41">
      <c r="B19" s="315"/>
      <c r="C19" s="315"/>
      <c r="D19" s="312"/>
      <c r="E19" s="312"/>
      <c r="F19" s="312"/>
      <c r="G19" s="312"/>
      <c r="H19" s="312"/>
      <c r="I19" s="312"/>
      <c r="J19" s="312"/>
      <c r="K19" s="312"/>
      <c r="L19" s="312"/>
      <c r="M19" s="312"/>
      <c r="N19" s="312"/>
      <c r="O19" s="312"/>
      <c r="P19" s="312"/>
      <c r="Q19" s="312"/>
      <c r="R19" s="312"/>
      <c r="S19" s="312"/>
      <c r="Z19" s="314"/>
      <c r="AA19" s="316">
        <v>11</v>
      </c>
      <c r="AB19" s="318">
        <v>-8.9011502857255249E-3</v>
      </c>
      <c r="AC19" s="318">
        <v>-5.7642095228531337E-2</v>
      </c>
      <c r="AD19" s="318">
        <v>-3.3892458694806102E-2</v>
      </c>
      <c r="AE19" s="318">
        <v>-9.0489458635822292E-2</v>
      </c>
      <c r="AF19" s="318">
        <v>-8.1774237010865169E-2</v>
      </c>
      <c r="AG19" s="318">
        <v>-7.5074791726713982E-2</v>
      </c>
      <c r="AH19" s="318">
        <v>-5.3113013111533269E-2</v>
      </c>
      <c r="AI19" s="318">
        <v>-1.1632118572721209E-2</v>
      </c>
      <c r="AJ19" s="318">
        <v>1.2368070977599659E-2</v>
      </c>
      <c r="AK19" s="318">
        <v>2.9427700606978979E-2</v>
      </c>
      <c r="AL19" s="318">
        <v>-2.3991845748655261E-2</v>
      </c>
      <c r="AM19" s="316"/>
      <c r="AN19" s="316"/>
      <c r="AO19" s="314"/>
    </row>
    <row r="20" spans="2:41">
      <c r="B20" s="315"/>
      <c r="C20" s="315"/>
      <c r="D20" s="312"/>
      <c r="E20" s="312"/>
      <c r="F20" s="312"/>
      <c r="G20" s="312"/>
      <c r="H20" s="312"/>
      <c r="I20" s="312"/>
      <c r="J20" s="312"/>
      <c r="K20" s="312"/>
      <c r="L20" s="312"/>
      <c r="M20" s="312"/>
      <c r="N20" s="312"/>
      <c r="O20" s="312"/>
      <c r="P20" s="312"/>
      <c r="Q20" s="312"/>
      <c r="R20" s="312"/>
      <c r="S20" s="312"/>
      <c r="Z20" s="314"/>
      <c r="AA20" s="316">
        <v>12</v>
      </c>
      <c r="AB20" s="318">
        <v>-1.907412351421451E-2</v>
      </c>
      <c r="AC20" s="318">
        <v>-5.1196869668024239E-2</v>
      </c>
      <c r="AD20" s="318">
        <v>-2.747835300034257E-2</v>
      </c>
      <c r="AE20" s="318">
        <v>-7.5512292711202203E-2</v>
      </c>
      <c r="AF20" s="318">
        <v>-6.7840126981881896E-2</v>
      </c>
      <c r="AG20" s="318">
        <v>-6.3163918625732368E-2</v>
      </c>
      <c r="AH20" s="318">
        <v>-4.4981814160704653E-2</v>
      </c>
      <c r="AI20" s="318">
        <v>-7.9049158104442796E-3</v>
      </c>
      <c r="AJ20" s="318">
        <v>1.323814455744814E-2</v>
      </c>
      <c r="AK20" s="318">
        <v>2.799255510040494E-2</v>
      </c>
      <c r="AL20" s="318">
        <v>-1.9451323292424889E-2</v>
      </c>
      <c r="AM20" s="316"/>
      <c r="AN20" s="316"/>
      <c r="AO20" s="314"/>
    </row>
    <row r="21" spans="2:41">
      <c r="B21" s="315"/>
      <c r="C21" s="315"/>
      <c r="D21" s="312"/>
      <c r="E21" s="312"/>
      <c r="F21" s="312"/>
      <c r="G21" s="312"/>
      <c r="H21" s="312"/>
      <c r="I21" s="312"/>
      <c r="J21" s="312"/>
      <c r="K21" s="312"/>
      <c r="L21" s="312"/>
      <c r="M21" s="312"/>
      <c r="N21" s="312"/>
      <c r="O21" s="312"/>
      <c r="P21" s="312"/>
      <c r="Q21" s="312"/>
      <c r="R21" s="312"/>
      <c r="S21" s="312"/>
      <c r="Z21" s="314"/>
      <c r="AA21" s="316"/>
      <c r="AB21" s="316"/>
      <c r="AC21" s="316"/>
      <c r="AD21" s="316"/>
      <c r="AE21" s="316"/>
      <c r="AF21" s="316"/>
      <c r="AG21" s="316"/>
      <c r="AH21" s="316"/>
      <c r="AI21" s="316"/>
      <c r="AJ21" s="316"/>
      <c r="AK21" s="316"/>
      <c r="AL21" s="316"/>
      <c r="AM21" s="316"/>
      <c r="AN21" s="316"/>
      <c r="AO21" s="314"/>
    </row>
    <row r="22" spans="2:41">
      <c r="B22" s="315"/>
      <c r="C22" s="315"/>
      <c r="D22" s="312"/>
      <c r="E22" s="312"/>
      <c r="F22" s="312"/>
      <c r="G22" s="312"/>
      <c r="H22" s="312"/>
      <c r="I22" s="312"/>
      <c r="J22" s="312"/>
      <c r="K22" s="312"/>
      <c r="L22" s="312"/>
      <c r="M22" s="312"/>
      <c r="N22" s="312"/>
      <c r="O22" s="312"/>
      <c r="P22" s="312"/>
      <c r="Q22" s="312"/>
      <c r="R22" s="312"/>
      <c r="S22" s="312"/>
      <c r="Z22" s="314"/>
      <c r="AA22" s="611" t="s">
        <v>596</v>
      </c>
      <c r="AB22" s="611"/>
      <c r="AC22" s="611"/>
      <c r="AD22" s="611"/>
      <c r="AE22" s="611"/>
      <c r="AF22" s="611"/>
      <c r="AG22" s="611"/>
      <c r="AH22" s="611"/>
      <c r="AI22" s="611"/>
      <c r="AJ22" s="611"/>
      <c r="AK22" s="611"/>
      <c r="AL22" s="611"/>
      <c r="AM22" s="611"/>
      <c r="AN22" s="316"/>
      <c r="AO22" s="314"/>
    </row>
    <row r="23" spans="2:41">
      <c r="B23" s="315"/>
      <c r="C23" s="315"/>
      <c r="D23" s="312"/>
      <c r="E23" s="312"/>
      <c r="F23" s="312"/>
      <c r="G23" s="312"/>
      <c r="H23" s="312"/>
      <c r="I23" s="312"/>
      <c r="J23" s="312"/>
      <c r="K23" s="312"/>
      <c r="L23" s="312"/>
      <c r="M23" s="312"/>
      <c r="N23" s="312"/>
      <c r="O23" s="312"/>
      <c r="P23" s="312"/>
      <c r="Q23" s="312"/>
      <c r="R23" s="312"/>
      <c r="S23" s="312"/>
      <c r="Z23" s="314"/>
      <c r="AA23" s="316"/>
      <c r="AB23" s="317" t="s">
        <v>586</v>
      </c>
      <c r="AC23" s="317" t="s">
        <v>597</v>
      </c>
      <c r="AD23" s="317" t="s">
        <v>587</v>
      </c>
      <c r="AE23" s="317" t="s">
        <v>543</v>
      </c>
      <c r="AF23" s="317" t="s">
        <v>588</v>
      </c>
      <c r="AG23" s="317" t="s">
        <v>589</v>
      </c>
      <c r="AH23" s="317" t="s">
        <v>590</v>
      </c>
      <c r="AI23" s="317" t="s">
        <v>591</v>
      </c>
      <c r="AJ23" s="317" t="s">
        <v>592</v>
      </c>
      <c r="AK23" s="317" t="s">
        <v>593</v>
      </c>
      <c r="AL23" s="317" t="s">
        <v>594</v>
      </c>
      <c r="AM23" s="317" t="s">
        <v>598</v>
      </c>
      <c r="AN23" s="316"/>
      <c r="AO23" s="314"/>
    </row>
    <row r="24" spans="2:41">
      <c r="B24" s="315"/>
      <c r="C24" s="315"/>
      <c r="D24" s="312"/>
      <c r="E24" s="312"/>
      <c r="F24" s="312"/>
      <c r="G24" s="312"/>
      <c r="H24" s="312"/>
      <c r="I24" s="312"/>
      <c r="J24" s="312"/>
      <c r="K24" s="312"/>
      <c r="L24" s="312"/>
      <c r="M24" s="312"/>
      <c r="N24" s="312"/>
      <c r="O24" s="312"/>
      <c r="P24" s="312"/>
      <c r="Q24" s="312"/>
      <c r="R24" s="312"/>
      <c r="S24" s="312"/>
      <c r="Z24" s="314"/>
      <c r="AA24" s="317">
        <v>0</v>
      </c>
      <c r="AB24" s="318">
        <v>3.3853144573303341E-3</v>
      </c>
      <c r="AC24" s="318">
        <v>-1.5</v>
      </c>
      <c r="AD24" s="318">
        <v>-0.67706289146608767</v>
      </c>
      <c r="AE24" s="318">
        <v>-0.36907657659043691</v>
      </c>
      <c r="AF24" s="318">
        <v>-1.774715455111247</v>
      </c>
      <c r="AG24" s="318">
        <v>-1.5606371516324249</v>
      </c>
      <c r="AH24" s="318">
        <v>-1.2337538381357609</v>
      </c>
      <c r="AI24" s="318">
        <v>-0.32258713093112518</v>
      </c>
      <c r="AJ24" s="318">
        <v>3.072781109586779E-2</v>
      </c>
      <c r="AK24" s="318">
        <v>7.0031481440279736E-2</v>
      </c>
      <c r="AL24" s="318">
        <v>7.2804922693330207E-2</v>
      </c>
      <c r="AM24" s="318">
        <v>-1.761178939094096</v>
      </c>
      <c r="AN24" s="316"/>
      <c r="AO24" s="314"/>
    </row>
    <row r="25" spans="2:41">
      <c r="B25" s="315"/>
      <c r="C25" s="315"/>
      <c r="D25" s="312"/>
      <c r="E25" s="312"/>
      <c r="F25" s="312"/>
      <c r="G25" s="312"/>
      <c r="H25" s="312"/>
      <c r="I25" s="312"/>
      <c r="J25" s="312"/>
      <c r="K25" s="312"/>
      <c r="L25" s="312"/>
      <c r="M25" s="312"/>
      <c r="N25" s="312"/>
      <c r="O25" s="312"/>
      <c r="P25" s="312"/>
      <c r="Q25" s="312"/>
      <c r="R25" s="312"/>
      <c r="S25" s="312"/>
      <c r="Z25" s="314"/>
      <c r="AA25" s="317">
        <v>1</v>
      </c>
      <c r="AB25" s="318">
        <v>-0.84399361856858579</v>
      </c>
      <c r="AC25" s="318">
        <v>-0.94500000000000006</v>
      </c>
      <c r="AD25" s="318">
        <v>-0.46699915280477872</v>
      </c>
      <c r="AE25" s="318">
        <v>-0.28488457172255383</v>
      </c>
      <c r="AF25" s="318">
        <v>-1.142388780142831</v>
      </c>
      <c r="AG25" s="318">
        <v>-1.005545677281225</v>
      </c>
      <c r="AH25" s="318">
        <v>-0.8303671357104726</v>
      </c>
      <c r="AI25" s="318">
        <v>-0.30194803578210649</v>
      </c>
      <c r="AJ25" s="318">
        <v>-1.015039687514765E-2</v>
      </c>
      <c r="AK25" s="318">
        <v>2.4097541674812342E-2</v>
      </c>
      <c r="AL25" s="318">
        <v>2.5716414854270241E-2</v>
      </c>
      <c r="AM25" s="318">
        <v>-1.146612741602105</v>
      </c>
      <c r="AN25" s="316"/>
      <c r="AO25" s="314"/>
    </row>
    <row r="26" spans="2:41">
      <c r="B26" s="315"/>
      <c r="C26" s="315"/>
      <c r="D26" s="312"/>
      <c r="E26" s="312"/>
      <c r="F26" s="312"/>
      <c r="G26" s="312"/>
      <c r="H26" s="312"/>
      <c r="I26" s="312"/>
      <c r="J26" s="312"/>
      <c r="K26" s="312"/>
      <c r="L26" s="312"/>
      <c r="M26" s="312"/>
      <c r="N26" s="312"/>
      <c r="O26" s="312"/>
      <c r="P26" s="312"/>
      <c r="Q26" s="312"/>
      <c r="R26" s="312"/>
      <c r="S26" s="312"/>
      <c r="Z26" s="314"/>
      <c r="AA26" s="317">
        <v>2</v>
      </c>
      <c r="AB26" s="318">
        <v>-0.58211949807592911</v>
      </c>
      <c r="AC26" s="318">
        <v>-0.59535000000000005</v>
      </c>
      <c r="AD26" s="318">
        <v>-0.32588858600884307</v>
      </c>
      <c r="AE26" s="318">
        <v>-0.2192649749315064</v>
      </c>
      <c r="AF26" s="318">
        <v>-0.73058741005958527</v>
      </c>
      <c r="AG26" s="318">
        <v>-0.64406828770805125</v>
      </c>
      <c r="AH26" s="318">
        <v>-0.55958019054430552</v>
      </c>
      <c r="AI26" s="318">
        <v>-0.26166412166952863</v>
      </c>
      <c r="AJ26" s="318">
        <v>-3.3418325931862322E-2</v>
      </c>
      <c r="AK26" s="318">
        <v>-4.1763758878190678E-3</v>
      </c>
      <c r="AL26" s="318">
        <v>-2.8716106723549089E-3</v>
      </c>
      <c r="AM26" s="318">
        <v>-0.75053166716161079</v>
      </c>
      <c r="AN26" s="316"/>
      <c r="AO26" s="314"/>
    </row>
    <row r="27" spans="2:41">
      <c r="B27" s="315"/>
      <c r="C27" s="315"/>
      <c r="D27" s="312"/>
      <c r="E27" s="312"/>
      <c r="F27" s="312"/>
      <c r="G27" s="312"/>
      <c r="H27" s="312"/>
      <c r="I27" s="312"/>
      <c r="J27" s="312"/>
      <c r="K27" s="312"/>
      <c r="L27" s="312"/>
      <c r="M27" s="312"/>
      <c r="N27" s="312"/>
      <c r="O27" s="312"/>
      <c r="P27" s="312"/>
      <c r="Q27" s="312"/>
      <c r="R27" s="312"/>
      <c r="S27" s="312"/>
      <c r="Z27" s="314"/>
      <c r="AA27" s="317">
        <v>3</v>
      </c>
      <c r="AB27" s="318">
        <v>-0.40620893877637743</v>
      </c>
      <c r="AC27" s="318">
        <v>-0.37507049999999997</v>
      </c>
      <c r="AD27" s="318">
        <v>-0.23035874693531119</v>
      </c>
      <c r="AE27" s="318">
        <v>-0.1686796891358735</v>
      </c>
      <c r="AF27" s="318">
        <v>-0.46213307321018832</v>
      </c>
      <c r="AG27" s="318">
        <v>-0.40871948853258783</v>
      </c>
      <c r="AH27" s="318">
        <v>-0.37707417148278188</v>
      </c>
      <c r="AI27" s="318">
        <v>-0.21690520627210741</v>
      </c>
      <c r="AJ27" s="318">
        <v>-4.5501494357090097E-2</v>
      </c>
      <c r="AK27" s="318">
        <v>-2.0986576785673259E-2</v>
      </c>
      <c r="AL27" s="318">
        <v>-1.95578264080753E-2</v>
      </c>
      <c r="AM27" s="318">
        <v>-0.49445613231759122</v>
      </c>
      <c r="AN27" s="316"/>
      <c r="AO27" s="314"/>
    </row>
    <row r="28" spans="2:41">
      <c r="B28" s="315"/>
      <c r="C28" s="315"/>
      <c r="D28" s="312"/>
      <c r="E28" s="312"/>
      <c r="F28" s="312"/>
      <c r="G28" s="312"/>
      <c r="H28" s="312"/>
      <c r="I28" s="312"/>
      <c r="J28" s="312"/>
      <c r="K28" s="312"/>
      <c r="L28" s="312"/>
      <c r="M28" s="312"/>
      <c r="N28" s="312"/>
      <c r="O28" s="312"/>
      <c r="P28" s="312"/>
      <c r="Q28" s="312"/>
      <c r="R28" s="312"/>
      <c r="S28" s="312"/>
      <c r="Z28" s="314"/>
      <c r="AA28" s="317">
        <v>4</v>
      </c>
      <c r="AB28" s="318">
        <v>-0.28712283040186498</v>
      </c>
      <c r="AC28" s="318">
        <v>-0.23629441500000001</v>
      </c>
      <c r="AD28" s="318">
        <v>-0.16512065345478219</v>
      </c>
      <c r="AE28" s="318">
        <v>-0.12997159480918599</v>
      </c>
      <c r="AF28" s="318">
        <v>-0.28709081578847639</v>
      </c>
      <c r="AG28" s="318">
        <v>-0.25548757961958429</v>
      </c>
      <c r="AH28" s="318">
        <v>-0.25368927270619462</v>
      </c>
      <c r="AI28" s="318">
        <v>-0.17489645202499601</v>
      </c>
      <c r="AJ28" s="318">
        <v>-5.0591040364998563E-2</v>
      </c>
      <c r="AK28" s="318">
        <v>-3.0376888992123791E-2</v>
      </c>
      <c r="AL28" s="318">
        <v>-2.862810981832602E-2</v>
      </c>
      <c r="AM28" s="318">
        <v>-0.32828698689793417</v>
      </c>
      <c r="AN28" s="316"/>
      <c r="AO28" s="314"/>
    </row>
    <row r="29" spans="2:41">
      <c r="D29" s="312"/>
      <c r="E29" s="312"/>
      <c r="F29" s="312"/>
      <c r="G29" s="312"/>
      <c r="H29" s="312"/>
      <c r="I29" s="312"/>
      <c r="J29" s="312"/>
      <c r="K29" s="312"/>
      <c r="L29" s="312"/>
      <c r="M29" s="312"/>
      <c r="N29" s="312"/>
      <c r="O29" s="312"/>
      <c r="P29" s="312"/>
      <c r="Q29" s="312"/>
      <c r="R29" s="312"/>
      <c r="S29" s="312"/>
      <c r="Z29" s="314"/>
      <c r="AA29" s="317">
        <v>5</v>
      </c>
      <c r="AB29" s="318">
        <v>-0.2058001457767703</v>
      </c>
      <c r="AC29" s="318">
        <v>-0.14886548145</v>
      </c>
      <c r="AD29" s="318">
        <v>-0.1201342083414815</v>
      </c>
      <c r="AE29" s="318">
        <v>-0.1005190356918091</v>
      </c>
      <c r="AF29" s="318">
        <v>-0.1731257593413974</v>
      </c>
      <c r="AG29" s="318">
        <v>-0.15588660352402151</v>
      </c>
      <c r="AH29" s="318">
        <v>-0.17023878725526151</v>
      </c>
      <c r="AI29" s="318">
        <v>-0.13855437018616379</v>
      </c>
      <c r="AJ29" s="318">
        <v>-5.1410887594277033E-2</v>
      </c>
      <c r="AK29" s="318">
        <v>-3.4993576029183383E-2</v>
      </c>
      <c r="AL29" s="318">
        <v>-3.2868336660123211E-2</v>
      </c>
      <c r="AM29" s="318">
        <v>-0.22001390003169141</v>
      </c>
      <c r="AN29" s="316"/>
      <c r="AO29" s="314"/>
    </row>
    <row r="30" spans="2:41">
      <c r="D30" s="312"/>
      <c r="E30" s="312"/>
      <c r="F30" s="312"/>
      <c r="G30" s="312"/>
      <c r="H30" s="312"/>
      <c r="I30" s="312"/>
      <c r="J30" s="312"/>
      <c r="K30" s="312"/>
      <c r="L30" s="312"/>
      <c r="M30" s="312"/>
      <c r="N30" s="312"/>
      <c r="O30" s="312"/>
      <c r="P30" s="312"/>
      <c r="Q30" s="312"/>
      <c r="R30" s="312"/>
      <c r="S30" s="312"/>
      <c r="Z30" s="314"/>
      <c r="AA30" s="317">
        <v>6</v>
      </c>
      <c r="AB30" s="318">
        <v>-0.1497238969057515</v>
      </c>
      <c r="AC30" s="318">
        <v>-9.3785253313500017E-2</v>
      </c>
      <c r="AD30" s="318">
        <v>-8.8772704220067195E-2</v>
      </c>
      <c r="AE30" s="318">
        <v>-7.8172400872401737E-2</v>
      </c>
      <c r="AF30" s="318">
        <v>-9.9167558834712968E-2</v>
      </c>
      <c r="AG30" s="318">
        <v>-9.1404255568133044E-2</v>
      </c>
      <c r="AH30" s="318">
        <v>-0.1138089734499237</v>
      </c>
      <c r="AI30" s="318">
        <v>-0.10855204388916</v>
      </c>
      <c r="AJ30" s="318">
        <v>-4.9721212322536221E-2</v>
      </c>
      <c r="AK30" s="318">
        <v>-3.6572796333517579E-2</v>
      </c>
      <c r="AL30" s="318">
        <v>-3.4090107700457152E-2</v>
      </c>
      <c r="AM30" s="318">
        <v>-0.1491178533217811</v>
      </c>
      <c r="AN30" s="316"/>
      <c r="AO30" s="314"/>
    </row>
    <row r="31" spans="2:41">
      <c r="D31" s="312"/>
      <c r="E31" s="312"/>
      <c r="F31" s="312"/>
      <c r="G31" s="312"/>
      <c r="H31" s="312"/>
      <c r="I31" s="312"/>
      <c r="J31" s="312"/>
      <c r="K31" s="312"/>
      <c r="L31" s="312"/>
      <c r="M31" s="312"/>
      <c r="N31" s="312"/>
      <c r="O31" s="312"/>
      <c r="P31" s="312"/>
      <c r="Q31" s="312"/>
      <c r="R31" s="312"/>
      <c r="S31" s="312"/>
      <c r="Z31" s="314"/>
      <c r="AA31" s="317">
        <v>7</v>
      </c>
      <c r="AB31" s="318">
        <v>-0.1106326606562327</v>
      </c>
      <c r="AC31" s="318">
        <v>-5.9084709587505002E-2</v>
      </c>
      <c r="AD31" s="318">
        <v>-6.6643923770254895E-2</v>
      </c>
      <c r="AE31" s="318">
        <v>-6.1236823546829078E-2</v>
      </c>
      <c r="AF31" s="318">
        <v>-5.1506326609802353E-2</v>
      </c>
      <c r="AG31" s="318">
        <v>-4.9990185302546369E-2</v>
      </c>
      <c r="AH31" s="318">
        <v>-7.5737186551046234E-2</v>
      </c>
      <c r="AI31" s="318">
        <v>-8.4508146116951052E-2</v>
      </c>
      <c r="AJ31" s="318">
        <v>-4.6648736063237072E-2</v>
      </c>
      <c r="AK31" s="318">
        <v>-3.6254747179250077E-2</v>
      </c>
      <c r="AL31" s="318">
        <v>-3.3469938314674152E-2</v>
      </c>
      <c r="AM31" s="318">
        <v>-0.1024307469053511</v>
      </c>
      <c r="AN31" s="316"/>
      <c r="AO31" s="314"/>
    </row>
    <row r="32" spans="2:41">
      <c r="D32" s="312"/>
      <c r="E32" s="312"/>
      <c r="F32" s="312"/>
      <c r="G32" s="312"/>
      <c r="H32" s="312"/>
      <c r="I32" s="312"/>
      <c r="J32" s="312"/>
      <c r="K32" s="312"/>
      <c r="L32" s="312"/>
      <c r="M32" s="312"/>
      <c r="N32" s="312"/>
      <c r="O32" s="312"/>
      <c r="P32" s="312"/>
      <c r="Q32" s="312"/>
      <c r="R32" s="312"/>
      <c r="S32" s="312"/>
      <c r="Z32" s="314"/>
      <c r="AA32" s="317">
        <v>8</v>
      </c>
      <c r="AB32" s="318">
        <v>-8.3050799997004016E-2</v>
      </c>
      <c r="AC32" s="318">
        <v>-3.7223367040128151E-2</v>
      </c>
      <c r="AD32" s="318">
        <v>-5.0820943162920303E-2</v>
      </c>
      <c r="AE32" s="318">
        <v>-4.838485860843917E-2</v>
      </c>
      <c r="AF32" s="318">
        <v>-2.113782332262399E-2</v>
      </c>
      <c r="AG32" s="318">
        <v>-2.3717968338056492E-2</v>
      </c>
      <c r="AH32" s="318">
        <v>-5.0121357952583531E-2</v>
      </c>
      <c r="AI32" s="318">
        <v>-6.5613436541465481E-2</v>
      </c>
      <c r="AJ32" s="318">
        <v>-4.2905121363419237E-2</v>
      </c>
      <c r="AK32" s="318">
        <v>-3.4788318953293193E-2</v>
      </c>
      <c r="AL32" s="318">
        <v>-3.1769973121036847E-2</v>
      </c>
      <c r="AM32" s="318">
        <v>-7.1472851820905126E-2</v>
      </c>
      <c r="AN32" s="316"/>
      <c r="AO32" s="314"/>
    </row>
    <row r="33" spans="4:41">
      <c r="D33" s="312"/>
      <c r="E33" s="312"/>
      <c r="F33" s="312"/>
      <c r="G33" s="312"/>
      <c r="H33" s="312"/>
      <c r="I33" s="312"/>
      <c r="J33" s="312"/>
      <c r="K33" s="312"/>
      <c r="L33" s="312"/>
      <c r="M33" s="312"/>
      <c r="N33" s="312"/>
      <c r="O33" s="312"/>
      <c r="P33" s="312"/>
      <c r="Q33" s="312"/>
      <c r="R33" s="312"/>
      <c r="S33" s="312"/>
      <c r="Z33" s="314"/>
      <c r="AA33" s="317">
        <v>9</v>
      </c>
      <c r="AB33" s="318">
        <v>-6.3329459201816568E-2</v>
      </c>
      <c r="AC33" s="318">
        <v>-2.345072123528074E-2</v>
      </c>
      <c r="AD33" s="318">
        <v>-3.934395036676127E-2</v>
      </c>
      <c r="AE33" s="318">
        <v>-3.8600377175337201E-2</v>
      </c>
      <c r="AF33" s="318">
        <v>-2.1170741544860512E-3</v>
      </c>
      <c r="AG33" s="318">
        <v>-7.3420256557388828E-3</v>
      </c>
      <c r="AH33" s="318">
        <v>-3.2967183500834593E-2</v>
      </c>
      <c r="AI33" s="318">
        <v>-5.0960413834564698E-2</v>
      </c>
      <c r="AJ33" s="318">
        <v>-3.8930885024887327E-2</v>
      </c>
      <c r="AK33" s="318">
        <v>-3.2664216401283863E-2</v>
      </c>
      <c r="AL33" s="318">
        <v>-2.9481281495696111E-2</v>
      </c>
      <c r="AM33" s="318">
        <v>-5.0774631752678157E-2</v>
      </c>
      <c r="AN33" s="316"/>
      <c r="AO33" s="314"/>
    </row>
    <row r="34" spans="4:41">
      <c r="D34" s="312"/>
      <c r="E34" s="312"/>
      <c r="F34" s="312"/>
      <c r="G34" s="312"/>
      <c r="H34" s="312"/>
      <c r="I34" s="312"/>
      <c r="J34" s="312"/>
      <c r="K34" s="312"/>
      <c r="L34" s="312"/>
      <c r="M34" s="312"/>
      <c r="N34" s="312"/>
      <c r="O34" s="312"/>
      <c r="P34" s="312"/>
      <c r="Q34" s="312"/>
      <c r="R34" s="312"/>
      <c r="S34" s="312"/>
      <c r="Z34" s="314"/>
      <c r="AA34" s="317">
        <v>10</v>
      </c>
      <c r="AB34" s="318">
        <v>-4.9025473132849898E-2</v>
      </c>
      <c r="AC34" s="318">
        <v>-1.4773954378226871E-2</v>
      </c>
      <c r="AD34" s="318">
        <v>-3.0892965120336579E-2</v>
      </c>
      <c r="AE34" s="318">
        <v>-3.1112372279834041E-2</v>
      </c>
      <c r="AF34" s="318">
        <v>9.4250727175337785E-3</v>
      </c>
      <c r="AG34" s="318">
        <v>2.5414586854002681E-3</v>
      </c>
      <c r="AH34" s="318">
        <v>-2.15371354571211E-2</v>
      </c>
      <c r="AI34" s="318">
        <v>-3.9692983293094959E-2</v>
      </c>
      <c r="AJ34" s="318">
        <v>-3.4990630321152467E-2</v>
      </c>
      <c r="AK34" s="318">
        <v>-3.0202426848703941E-2</v>
      </c>
      <c r="AL34" s="318">
        <v>-2.691761110853421E-2</v>
      </c>
      <c r="AM34" s="318">
        <v>-3.6797653574177067E-2</v>
      </c>
      <c r="AN34" s="316"/>
      <c r="AO34" s="314"/>
    </row>
    <row r="35" spans="4:41">
      <c r="D35" s="312"/>
      <c r="E35" s="312"/>
      <c r="F35" s="312"/>
      <c r="G35" s="312"/>
      <c r="H35" s="312"/>
      <c r="I35" s="312"/>
      <c r="J35" s="312"/>
      <c r="K35" s="312"/>
      <c r="L35" s="312"/>
      <c r="M35" s="312"/>
      <c r="N35" s="312"/>
      <c r="O35" s="312"/>
      <c r="P35" s="312"/>
      <c r="Q35" s="312"/>
      <c r="R35" s="312"/>
      <c r="S35" s="312"/>
      <c r="Z35" s="314"/>
      <c r="AA35" s="317">
        <v>11</v>
      </c>
      <c r="AB35" s="318">
        <v>-3.8493339338542987E-2</v>
      </c>
      <c r="AC35" s="318">
        <v>-9.3075912582829233E-3</v>
      </c>
      <c r="AD35" s="318">
        <v>-2.4573412375547679E-2</v>
      </c>
      <c r="AE35" s="318">
        <v>-2.534995549547845E-2</v>
      </c>
      <c r="AF35" s="318">
        <v>1.6060372033104061E-2</v>
      </c>
      <c r="AG35" s="318">
        <v>8.1811095258121184E-3</v>
      </c>
      <c r="AH35" s="318">
        <v>-1.4016741246126219E-2</v>
      </c>
      <c r="AI35" s="318">
        <v>-3.1072372651297211E-2</v>
      </c>
      <c r="AJ35" s="318">
        <v>-3.1235732106020219E-2</v>
      </c>
      <c r="AK35" s="318">
        <v>-2.7609729695232128E-2</v>
      </c>
      <c r="AL35" s="318">
        <v>-2.4276670599579549E-2</v>
      </c>
      <c r="AM35" s="318">
        <v>-2.725242423251005E-2</v>
      </c>
      <c r="AN35" s="316"/>
      <c r="AO35" s="314"/>
    </row>
    <row r="36" spans="4:41">
      <c r="D36" s="312"/>
      <c r="E36" s="312"/>
      <c r="F36" s="312"/>
      <c r="G36" s="312"/>
      <c r="H36" s="312"/>
      <c r="I36" s="312"/>
      <c r="J36" s="312"/>
      <c r="K36" s="312"/>
      <c r="L36" s="312"/>
      <c r="M36" s="312"/>
      <c r="N36" s="312"/>
      <c r="O36" s="312"/>
      <c r="P36" s="312"/>
      <c r="Q36" s="312"/>
      <c r="R36" s="312"/>
      <c r="S36" s="312"/>
      <c r="Z36" s="314"/>
      <c r="AA36" s="317">
        <v>12</v>
      </c>
      <c r="AB36" s="318">
        <v>-3.0617899000547202E-2</v>
      </c>
      <c r="AC36" s="318">
        <v>-5.8637824927182426E-3</v>
      </c>
      <c r="AD36" s="318">
        <v>-1.9773293777479939E-2</v>
      </c>
      <c r="AE36" s="318">
        <v>-2.0879349718652601E-2</v>
      </c>
      <c r="AF36" s="318">
        <v>1.9492510605245469E-2</v>
      </c>
      <c r="AG36" s="318">
        <v>1.1077566178678659E-2</v>
      </c>
      <c r="AH36" s="318">
        <v>-9.1345365437166329E-3</v>
      </c>
      <c r="AI36" s="318">
        <v>-2.4489615082820909E-2</v>
      </c>
      <c r="AJ36" s="318">
        <v>-2.7745737515130282E-2</v>
      </c>
      <c r="AK36" s="318">
        <v>-2.5017867662850739E-2</v>
      </c>
      <c r="AL36" s="318">
        <v>-2.168046270278574E-2</v>
      </c>
      <c r="AM36" s="318">
        <v>-2.0644095711903239E-2</v>
      </c>
      <c r="AN36" s="316"/>
      <c r="AO36" s="314"/>
    </row>
    <row r="37" spans="4:41">
      <c r="D37" s="312"/>
      <c r="E37" s="312"/>
      <c r="F37" s="312"/>
      <c r="G37" s="312"/>
      <c r="H37" s="312"/>
      <c r="I37" s="312"/>
      <c r="J37" s="312"/>
      <c r="K37" s="312"/>
      <c r="L37" s="312"/>
      <c r="M37" s="312"/>
      <c r="N37" s="312"/>
      <c r="O37" s="312"/>
      <c r="P37" s="312"/>
      <c r="Q37" s="312"/>
      <c r="R37" s="312"/>
      <c r="S37" s="312"/>
      <c r="Z37" s="314"/>
      <c r="AA37" s="317"/>
      <c r="AB37" s="317"/>
      <c r="AC37" s="316"/>
      <c r="AD37" s="316"/>
      <c r="AE37" s="316"/>
      <c r="AF37" s="316"/>
      <c r="AG37" s="316"/>
      <c r="AH37" s="316"/>
      <c r="AI37" s="316"/>
      <c r="AJ37" s="316"/>
      <c r="AK37" s="316"/>
      <c r="AL37" s="316"/>
      <c r="AM37" s="316"/>
      <c r="AN37" s="316"/>
      <c r="AO37" s="314"/>
    </row>
    <row r="38" spans="4:41">
      <c r="D38" s="312"/>
      <c r="E38" s="312"/>
      <c r="F38" s="312"/>
      <c r="G38" s="312"/>
      <c r="H38" s="312"/>
      <c r="I38" s="312"/>
      <c r="J38" s="312"/>
      <c r="K38" s="312"/>
      <c r="L38" s="312"/>
      <c r="M38" s="312"/>
      <c r="N38" s="312"/>
      <c r="O38" s="312"/>
      <c r="P38" s="312"/>
      <c r="Q38" s="312"/>
      <c r="R38" s="312"/>
      <c r="S38" s="312"/>
      <c r="Z38" s="314"/>
      <c r="AA38" s="611" t="s">
        <v>599</v>
      </c>
      <c r="AB38" s="611"/>
      <c r="AC38" s="611"/>
      <c r="AD38" s="611"/>
      <c r="AE38" s="611"/>
      <c r="AF38" s="611"/>
      <c r="AG38" s="611"/>
      <c r="AH38" s="611"/>
      <c r="AI38" s="611"/>
      <c r="AJ38" s="611"/>
      <c r="AK38" s="611"/>
      <c r="AL38" s="611"/>
      <c r="AM38" s="611"/>
      <c r="AN38" s="611"/>
      <c r="AO38" s="314"/>
    </row>
    <row r="39" spans="4:41">
      <c r="D39" s="312"/>
      <c r="E39" s="312"/>
      <c r="F39" s="312"/>
      <c r="G39" s="312"/>
      <c r="H39" s="312"/>
      <c r="I39" s="312"/>
      <c r="J39" s="312"/>
      <c r="K39" s="312"/>
      <c r="L39" s="312"/>
      <c r="M39" s="312"/>
      <c r="N39" s="312"/>
      <c r="O39" s="312"/>
      <c r="P39" s="312"/>
      <c r="Q39" s="312"/>
      <c r="R39" s="312"/>
      <c r="S39" s="312"/>
      <c r="Z39" s="314"/>
      <c r="AA39" s="316"/>
      <c r="AB39" s="317" t="s">
        <v>586</v>
      </c>
      <c r="AC39" s="317" t="s">
        <v>597</v>
      </c>
      <c r="AD39" s="317" t="s">
        <v>600</v>
      </c>
      <c r="AE39" s="317" t="s">
        <v>587</v>
      </c>
      <c r="AF39" s="317" t="s">
        <v>543</v>
      </c>
      <c r="AG39" s="317" t="s">
        <v>588</v>
      </c>
      <c r="AH39" s="317" t="s">
        <v>589</v>
      </c>
      <c r="AI39" s="317" t="s">
        <v>590</v>
      </c>
      <c r="AJ39" s="317" t="s">
        <v>591</v>
      </c>
      <c r="AK39" s="317" t="s">
        <v>592</v>
      </c>
      <c r="AL39" s="317" t="s">
        <v>593</v>
      </c>
      <c r="AM39" s="317" t="s">
        <v>594</v>
      </c>
      <c r="AN39" s="317" t="s">
        <v>598</v>
      </c>
      <c r="AO39" s="314"/>
    </row>
    <row r="40" spans="4:41">
      <c r="D40" s="312"/>
      <c r="E40" s="312"/>
      <c r="F40" s="312"/>
      <c r="G40" s="312"/>
      <c r="H40" s="312"/>
      <c r="I40" s="312"/>
      <c r="J40" s="312"/>
      <c r="K40" s="312"/>
      <c r="L40" s="312"/>
      <c r="M40" s="312"/>
      <c r="N40" s="312"/>
      <c r="O40" s="312"/>
      <c r="P40" s="312"/>
      <c r="Q40" s="312"/>
      <c r="R40" s="312"/>
      <c r="S40" s="312"/>
      <c r="Z40" s="314"/>
      <c r="AA40" s="317">
        <v>0</v>
      </c>
      <c r="AB40" s="318">
        <v>3.3425783908476452E-3</v>
      </c>
      <c r="AC40" s="318">
        <v>-2</v>
      </c>
      <c r="AD40" s="318">
        <v>0.5</v>
      </c>
      <c r="AE40" s="318">
        <v>-0.6685156781695496</v>
      </c>
      <c r="AF40" s="318">
        <v>-6.4960845753334273E-2</v>
      </c>
      <c r="AG40" s="318">
        <v>0.67546130405253502</v>
      </c>
      <c r="AH40" s="318">
        <v>0.16750817283858541</v>
      </c>
      <c r="AI40" s="318">
        <v>-0.102884523399027</v>
      </c>
      <c r="AJ40" s="318">
        <v>-0.26655961021691299</v>
      </c>
      <c r="AK40" s="318">
        <v>3.038596161224669E-2</v>
      </c>
      <c r="AL40" s="318">
        <v>6.5808980435403064E-2</v>
      </c>
      <c r="AM40" s="318">
        <v>6.8184622184336116E-2</v>
      </c>
      <c r="AN40" s="318">
        <v>-2.0458655569533279</v>
      </c>
      <c r="AO40" s="314"/>
    </row>
    <row r="41" spans="4:41">
      <c r="D41" s="312"/>
      <c r="E41" s="312"/>
      <c r="F41" s="312"/>
      <c r="G41" s="312"/>
      <c r="H41" s="312"/>
      <c r="I41" s="312"/>
      <c r="J41" s="312"/>
      <c r="K41" s="312"/>
      <c r="L41" s="312"/>
      <c r="M41" s="312"/>
      <c r="N41" s="312"/>
      <c r="O41" s="312"/>
      <c r="P41" s="312"/>
      <c r="Q41" s="312"/>
      <c r="R41" s="312"/>
      <c r="S41" s="312"/>
      <c r="Z41" s="314"/>
      <c r="AA41" s="317">
        <v>1</v>
      </c>
      <c r="AB41" s="318">
        <v>-0.83334789052079938</v>
      </c>
      <c r="AC41" s="318">
        <v>-1.26</v>
      </c>
      <c r="AD41" s="318">
        <v>0.315</v>
      </c>
      <c r="AE41" s="318">
        <v>-0.45934143822756102</v>
      </c>
      <c r="AF41" s="318">
        <v>-9.2533106241343671E-2</v>
      </c>
      <c r="AG41" s="318">
        <v>0.41674073410492712</v>
      </c>
      <c r="AH41" s="318">
        <v>0.1064276049902574</v>
      </c>
      <c r="AI41" s="318">
        <v>-9.1990161149378372E-2</v>
      </c>
      <c r="AJ41" s="318">
        <v>-0.28000660413163719</v>
      </c>
      <c r="AK41" s="318">
        <v>-1.20972553652837E-2</v>
      </c>
      <c r="AL41" s="318">
        <v>2.01105416341485E-2</v>
      </c>
      <c r="AM41" s="318">
        <v>2.1497923168584031E-2</v>
      </c>
      <c r="AN41" s="318">
        <v>-1.3254282684759029</v>
      </c>
      <c r="AO41" s="314"/>
    </row>
    <row r="42" spans="4:41">
      <c r="D42" s="312"/>
      <c r="E42" s="312"/>
      <c r="F42" s="312"/>
      <c r="G42" s="312"/>
      <c r="H42" s="312"/>
      <c r="I42" s="312"/>
      <c r="J42" s="312"/>
      <c r="K42" s="312"/>
      <c r="L42" s="312"/>
      <c r="M42" s="312"/>
      <c r="N42" s="312"/>
      <c r="O42" s="312"/>
      <c r="P42" s="312"/>
      <c r="Q42" s="312"/>
      <c r="R42" s="312"/>
      <c r="S42" s="312"/>
      <c r="Z42" s="314"/>
      <c r="AA42" s="317">
        <v>2</v>
      </c>
      <c r="AB42" s="318">
        <v>-0.57258277592101559</v>
      </c>
      <c r="AC42" s="318">
        <v>-0.79380000000000006</v>
      </c>
      <c r="AD42" s="318">
        <v>0.19844999999999999</v>
      </c>
      <c r="AE42" s="318">
        <v>-0.31880437268715539</v>
      </c>
      <c r="AF42" s="318">
        <v>-9.6942356842653732E-2</v>
      </c>
      <c r="AG42" s="318">
        <v>0.26647597156050751</v>
      </c>
      <c r="AH42" s="318">
        <v>7.7233311522957815E-2</v>
      </c>
      <c r="AI42" s="318">
        <v>-7.3907493148518258E-2</v>
      </c>
      <c r="AJ42" s="318">
        <v>-0.25668964810222888</v>
      </c>
      <c r="AK42" s="318">
        <v>-3.628295995634169E-2</v>
      </c>
      <c r="AL42" s="318">
        <v>-7.9023782616829928E-3</v>
      </c>
      <c r="AM42" s="318">
        <v>-6.7009365404461611E-3</v>
      </c>
      <c r="AN42" s="318">
        <v>-0.86237754822130375</v>
      </c>
      <c r="AO42" s="314"/>
    </row>
    <row r="43" spans="4:41">
      <c r="D43" s="312"/>
      <c r="E43" s="312"/>
      <c r="F43" s="312"/>
      <c r="G43" s="312"/>
      <c r="H43" s="312"/>
      <c r="I43" s="312"/>
      <c r="J43" s="312"/>
      <c r="K43" s="312"/>
      <c r="L43" s="312"/>
      <c r="M43" s="312"/>
      <c r="N43" s="312"/>
      <c r="O43" s="312"/>
      <c r="P43" s="312"/>
      <c r="Q43" s="312"/>
      <c r="R43" s="312"/>
      <c r="S43" s="312"/>
      <c r="Z43" s="314"/>
      <c r="AA43" s="317">
        <v>3</v>
      </c>
      <c r="AB43" s="318">
        <v>-0.39738679749849293</v>
      </c>
      <c r="AC43" s="318">
        <v>-0.50009400000000004</v>
      </c>
      <c r="AD43" s="318">
        <v>0.12502350000000001</v>
      </c>
      <c r="AE43" s="318">
        <v>-0.2237336720902835</v>
      </c>
      <c r="AF43" s="318">
        <v>-9.0246994089122595E-2</v>
      </c>
      <c r="AG43" s="318">
        <v>0.1799544709535873</v>
      </c>
      <c r="AH43" s="318">
        <v>6.4245116414937006E-2</v>
      </c>
      <c r="AI43" s="318">
        <v>-5.457361680448114E-2</v>
      </c>
      <c r="AJ43" s="318">
        <v>-0.21952923416594791</v>
      </c>
      <c r="AK43" s="318">
        <v>-4.8792021289791758E-2</v>
      </c>
      <c r="AL43" s="318">
        <v>-2.44294719425136E-2</v>
      </c>
      <c r="AM43" s="318">
        <v>-2.3003868908344091E-2</v>
      </c>
      <c r="AN43" s="318">
        <v>-0.56394956752210379</v>
      </c>
      <c r="AO43" s="314"/>
    </row>
    <row r="44" spans="4:41">
      <c r="Z44" s="314"/>
      <c r="AA44" s="317">
        <v>4</v>
      </c>
      <c r="AB44" s="318">
        <v>-0.27887240109299549</v>
      </c>
      <c r="AC44" s="318">
        <v>-0.31505921999999997</v>
      </c>
      <c r="AD44" s="318">
        <v>7.8764805000000007E-2</v>
      </c>
      <c r="AE44" s="318">
        <v>-0.1589378039717734</v>
      </c>
      <c r="AF44" s="318">
        <v>-7.9127973424999276E-2</v>
      </c>
      <c r="AG44" s="318">
        <v>0.13030255857599751</v>
      </c>
      <c r="AH44" s="318">
        <v>5.873647503712872E-2</v>
      </c>
      <c r="AI44" s="318">
        <v>-3.7184271870293321E-2</v>
      </c>
      <c r="AJ44" s="318">
        <v>-0.18019855058649931</v>
      </c>
      <c r="AK44" s="318">
        <v>-5.397359332560233E-2</v>
      </c>
      <c r="AL44" s="318">
        <v>-3.3522135133120537E-2</v>
      </c>
      <c r="AM44" s="318">
        <v>-3.1699142820464751E-2</v>
      </c>
      <c r="AN44" s="318">
        <v>-0.37105479800976587</v>
      </c>
      <c r="AO44" s="314"/>
    </row>
    <row r="45" spans="4:41">
      <c r="Z45" s="314"/>
      <c r="AA45" s="317">
        <v>5</v>
      </c>
      <c r="AB45" s="318">
        <v>-0.19810021980170969</v>
      </c>
      <c r="AC45" s="318">
        <v>-0.1984873086</v>
      </c>
      <c r="AD45" s="318">
        <v>4.9621827149999999E-2</v>
      </c>
      <c r="AE45" s="318">
        <v>-0.11440703260143099</v>
      </c>
      <c r="AF45" s="318">
        <v>-6.707983478069543E-2</v>
      </c>
      <c r="AG45" s="318">
        <v>0.1015693447545471</v>
      </c>
      <c r="AH45" s="318">
        <v>5.6116176908184323E-2</v>
      </c>
      <c r="AI45" s="318">
        <v>-2.299816645500468E-2</v>
      </c>
      <c r="AJ45" s="318">
        <v>-0.14411457819804041</v>
      </c>
      <c r="AK45" s="318">
        <v>-5.4672854386033663E-2</v>
      </c>
      <c r="AL45" s="318">
        <v>-3.7836564110586078E-2</v>
      </c>
      <c r="AM45" s="318">
        <v>-3.5579287663135707E-2</v>
      </c>
      <c r="AN45" s="318">
        <v>-0.24596107112120791</v>
      </c>
      <c r="AO45" s="314"/>
    </row>
    <row r="46" spans="4:41">
      <c r="Z46" s="314"/>
      <c r="AA46" s="317">
        <v>6</v>
      </c>
      <c r="AB46" s="318">
        <v>-0.14259120543763371</v>
      </c>
      <c r="AC46" s="318">
        <v>-0.12504700441800001</v>
      </c>
      <c r="AD46" s="318">
        <v>3.1261751104500003E-2</v>
      </c>
      <c r="AE46" s="318">
        <v>-8.3517062831017508E-2</v>
      </c>
      <c r="AF46" s="318">
        <v>-5.5780158434866577E-2</v>
      </c>
      <c r="AG46" s="318">
        <v>8.4433737925932908E-2</v>
      </c>
      <c r="AH46" s="318">
        <v>5.4172993129945383E-2</v>
      </c>
      <c r="AI46" s="318">
        <v>-1.2220708414237381E-2</v>
      </c>
      <c r="AJ46" s="318">
        <v>-0.1133148895542741</v>
      </c>
      <c r="AK46" s="318">
        <v>-5.2737973384796313E-2</v>
      </c>
      <c r="AL46" s="318">
        <v>-3.9117862558484047E-2</v>
      </c>
      <c r="AM46" s="318">
        <v>-3.6462184750031927E-2</v>
      </c>
      <c r="AN46" s="318">
        <v>-0.16452619683532579</v>
      </c>
      <c r="AO46" s="314"/>
    </row>
    <row r="47" spans="4:41">
      <c r="Z47" s="314"/>
      <c r="AA47" s="317">
        <v>7</v>
      </c>
      <c r="AB47" s="318">
        <v>-0.1040870021639639</v>
      </c>
      <c r="AC47" s="318">
        <v>-7.8779612783340003E-2</v>
      </c>
      <c r="AD47" s="318">
        <v>1.9694903195835001E-2</v>
      </c>
      <c r="AE47" s="318">
        <v>-6.1865274961608013E-2</v>
      </c>
      <c r="AF47" s="318">
        <v>-4.5909396081292082E-2</v>
      </c>
      <c r="AG47" s="318">
        <v>7.3565128439839894E-2</v>
      </c>
      <c r="AH47" s="318">
        <v>5.1960295536340503E-2</v>
      </c>
      <c r="AI47" s="318">
        <v>-4.5125477658762266E-3</v>
      </c>
      <c r="AJ47" s="318">
        <v>-8.8132456474742188E-2</v>
      </c>
      <c r="AK47" s="318">
        <v>-4.9357159811136399E-2</v>
      </c>
      <c r="AL47" s="318">
        <v>-3.8513505959410513E-2</v>
      </c>
      <c r="AM47" s="318">
        <v>-3.5529111309882407E-2</v>
      </c>
      <c r="AN47" s="318">
        <v>-0.1112741261492787</v>
      </c>
      <c r="AO47" s="314"/>
    </row>
    <row r="48" spans="4:41">
      <c r="Z48" s="314"/>
      <c r="AA48" s="317">
        <v>8</v>
      </c>
      <c r="AB48" s="318">
        <v>-7.709903041082096E-2</v>
      </c>
      <c r="AC48" s="318">
        <v>-4.9631156053504197E-2</v>
      </c>
      <c r="AD48" s="318">
        <v>1.2407789013376049E-2</v>
      </c>
      <c r="AE48" s="318">
        <v>-4.6512658237810818E-2</v>
      </c>
      <c r="AF48" s="318">
        <v>-3.7625080030534289E-2</v>
      </c>
      <c r="AG48" s="318">
        <v>6.5978132310017618E-2</v>
      </c>
      <c r="AH48" s="318">
        <v>4.9193765682614972E-2</v>
      </c>
      <c r="AI48" s="318">
        <v>6.8024808358779396E-4</v>
      </c>
      <c r="AJ48" s="318">
        <v>-6.8106756716447364E-2</v>
      </c>
      <c r="AK48" s="318">
        <v>-4.5283081910401812E-2</v>
      </c>
      <c r="AL48" s="318">
        <v>-3.6777478919671792E-2</v>
      </c>
      <c r="AM48" s="318">
        <v>-3.3544856359250447E-2</v>
      </c>
      <c r="AN48" s="318">
        <v>-7.6263000444381071E-2</v>
      </c>
      <c r="AO48" s="314"/>
    </row>
    <row r="49" spans="2:42">
      <c r="Z49" s="314"/>
      <c r="AA49" s="317">
        <v>9</v>
      </c>
      <c r="AB49" s="318">
        <v>-5.7963380332549379E-2</v>
      </c>
      <c r="AC49" s="318">
        <v>-3.1267628313707649E-2</v>
      </c>
      <c r="AD49" s="318">
        <v>7.8169070784269122E-3</v>
      </c>
      <c r="AE49" s="318">
        <v>-3.5488492942832281E-2</v>
      </c>
      <c r="AF49" s="318">
        <v>-3.0842364271254589E-2</v>
      </c>
      <c r="AG49" s="318">
        <v>6.0037123643111971E-2</v>
      </c>
      <c r="AH49" s="318">
        <v>4.588162019659936E-2</v>
      </c>
      <c r="AI49" s="318">
        <v>3.9005847671632009E-3</v>
      </c>
      <c r="AJ49" s="318">
        <v>-5.2479600877965007E-2</v>
      </c>
      <c r="AK49" s="318">
        <v>-4.0982386257600513E-2</v>
      </c>
      <c r="AL49" s="318">
        <v>-3.4403735044575487E-2</v>
      </c>
      <c r="AM49" s="318">
        <v>-3.1001398586673799E-2</v>
      </c>
      <c r="AN49" s="318">
        <v>-5.3099131235051521E-2</v>
      </c>
      <c r="AO49" s="314"/>
    </row>
    <row r="50" spans="2:42">
      <c r="B50" s="319"/>
      <c r="Z50" s="314"/>
      <c r="AA50" s="317">
        <v>10</v>
      </c>
      <c r="AB50" s="318">
        <v>-4.4223298319857517E-2</v>
      </c>
      <c r="AC50" s="318">
        <v>-1.9698605837635819E-2</v>
      </c>
      <c r="AD50" s="318">
        <v>4.9246514594089548E-3</v>
      </c>
      <c r="AE50" s="318">
        <v>-2.746357173656485E-2</v>
      </c>
      <c r="AF50" s="318">
        <v>-2.5363048594283781E-2</v>
      </c>
      <c r="AG50" s="318">
        <v>5.4929079500371493E-2</v>
      </c>
      <c r="AH50" s="318">
        <v>4.2197071739965807E-2</v>
      </c>
      <c r="AI50" s="318">
        <v>5.6804284485629103E-3</v>
      </c>
      <c r="AJ50" s="318">
        <v>-4.043988693168124E-2</v>
      </c>
      <c r="AK50" s="318">
        <v>-3.6735360608113957E-2</v>
      </c>
      <c r="AL50" s="318">
        <v>-3.171407683852507E-2</v>
      </c>
      <c r="AM50" s="318">
        <v>-2.8212136656458681E-2</v>
      </c>
      <c r="AN50" s="318">
        <v>-3.7652028820408953E-2</v>
      </c>
      <c r="AO50" s="314"/>
    </row>
    <row r="51" spans="2:42">
      <c r="Z51" s="314"/>
      <c r="AA51" s="317">
        <v>11</v>
      </c>
      <c r="AB51" s="318">
        <v>-3.422177623396979E-2</v>
      </c>
      <c r="AC51" s="318">
        <v>-1.241012167771057E-2</v>
      </c>
      <c r="AD51" s="318">
        <v>3.102530419427642E-3</v>
      </c>
      <c r="AE51" s="318">
        <v>-2.153768734725511E-2</v>
      </c>
      <c r="AF51" s="318">
        <v>-2.0971922446048029E-2</v>
      </c>
      <c r="AG51" s="318">
        <v>5.0237711650582682E-2</v>
      </c>
      <c r="AH51" s="318">
        <v>3.8306432478012208E-2</v>
      </c>
      <c r="AI51" s="318">
        <v>6.4255902849341476E-3</v>
      </c>
      <c r="AJ51" s="318">
        <v>-3.1243162655600981E-2</v>
      </c>
      <c r="AK51" s="318">
        <v>-3.2701691487229491E-2</v>
      </c>
      <c r="AL51" s="318">
        <v>-2.891578251548111E-2</v>
      </c>
      <c r="AM51" s="318">
        <v>-2.5373353078922571E-2</v>
      </c>
      <c r="AN51" s="318">
        <v>-2.7255530338250199E-2</v>
      </c>
      <c r="AO51" s="314"/>
    </row>
    <row r="52" spans="2:42">
      <c r="Z52" s="314"/>
      <c r="AA52" s="317">
        <v>12</v>
      </c>
      <c r="AB52" s="318">
        <v>-2.6836626568711001E-2</v>
      </c>
      <c r="AC52" s="318">
        <v>-7.8183766569576568E-3</v>
      </c>
      <c r="AD52" s="318">
        <v>1.9545941642394142E-3</v>
      </c>
      <c r="AE52" s="318">
        <v>-1.709652307157623E-2</v>
      </c>
      <c r="AF52" s="318">
        <v>-1.7460536658819741E-2</v>
      </c>
      <c r="AG52" s="318">
        <v>4.5795190524726907E-2</v>
      </c>
      <c r="AH52" s="318">
        <v>3.4372082614833981E-2</v>
      </c>
      <c r="AI52" s="318">
        <v>6.4732558563047092E-3</v>
      </c>
      <c r="AJ52" s="318">
        <v>-2.425349031908559E-2</v>
      </c>
      <c r="AK52" s="318">
        <v>-2.8964323478555931E-2</v>
      </c>
      <c r="AL52" s="318">
        <v>-2.6140127411864819E-2</v>
      </c>
      <c r="AM52" s="318">
        <v>-2.2604935296497281E-2</v>
      </c>
      <c r="AN52" s="318">
        <v>-2.0178371367237938E-2</v>
      </c>
      <c r="AO52" s="314"/>
    </row>
    <row r="53" spans="2:42">
      <c r="Z53" s="314"/>
      <c r="AA53" s="314"/>
      <c r="AB53" s="314"/>
      <c r="AC53" s="314"/>
      <c r="AD53" s="314"/>
      <c r="AE53" s="314"/>
      <c r="AF53" s="314"/>
      <c r="AG53" s="314"/>
      <c r="AH53" s="314"/>
      <c r="AI53" s="314"/>
      <c r="AJ53" s="314"/>
      <c r="AK53" s="314"/>
      <c r="AL53" s="314"/>
      <c r="AM53" s="314"/>
      <c r="AN53" s="314"/>
      <c r="AO53" s="314"/>
    </row>
    <row r="54" spans="2:42">
      <c r="Z54" s="314"/>
      <c r="AA54" s="314"/>
      <c r="AB54" s="314"/>
      <c r="AC54" s="314"/>
      <c r="AD54" s="314"/>
      <c r="AE54" s="314"/>
      <c r="AF54" s="314"/>
      <c r="AG54" s="314"/>
      <c r="AH54" s="314"/>
      <c r="AI54" s="314"/>
      <c r="AJ54" s="314"/>
      <c r="AK54" s="314"/>
      <c r="AL54" s="314"/>
      <c r="AM54" s="314"/>
      <c r="AN54" s="314"/>
      <c r="AO54" s="314"/>
    </row>
    <row r="55" spans="2:42">
      <c r="Z55"/>
      <c r="AA55"/>
      <c r="AB55"/>
      <c r="AC55"/>
      <c r="AD55"/>
      <c r="AE55"/>
      <c r="AF55"/>
      <c r="AG55"/>
      <c r="AH55"/>
      <c r="AI55"/>
      <c r="AJ55"/>
      <c r="AK55"/>
      <c r="AL55"/>
      <c r="AM55"/>
      <c r="AN55"/>
      <c r="AO55"/>
      <c r="AP55"/>
    </row>
    <row r="56" spans="2:42">
      <c r="Z56"/>
      <c r="AA56"/>
      <c r="AB56"/>
      <c r="AC56"/>
      <c r="AD56"/>
      <c r="AE56"/>
      <c r="AF56"/>
      <c r="AG56"/>
      <c r="AH56"/>
      <c r="AI56"/>
      <c r="AJ56"/>
      <c r="AK56"/>
      <c r="AL56"/>
      <c r="AM56"/>
      <c r="AN56"/>
      <c r="AO56"/>
      <c r="AP56"/>
    </row>
    <row r="57" spans="2:42">
      <c r="Z57"/>
      <c r="AA57"/>
      <c r="AB57"/>
      <c r="AC57"/>
      <c r="AD57"/>
      <c r="AE57"/>
      <c r="AF57"/>
      <c r="AG57"/>
      <c r="AH57"/>
      <c r="AI57"/>
      <c r="AJ57"/>
      <c r="AK57"/>
      <c r="AL57"/>
      <c r="AM57"/>
      <c r="AN57"/>
      <c r="AO57"/>
      <c r="AP57"/>
    </row>
    <row r="58" spans="2:42">
      <c r="Z58"/>
      <c r="AA58"/>
      <c r="AB58"/>
      <c r="AC58"/>
      <c r="AD58"/>
      <c r="AE58"/>
      <c r="AF58"/>
      <c r="AG58"/>
      <c r="AH58"/>
      <c r="AI58"/>
      <c r="AJ58"/>
      <c r="AK58"/>
      <c r="AL58"/>
      <c r="AM58"/>
      <c r="AN58"/>
      <c r="AO58"/>
      <c r="AP58"/>
    </row>
    <row r="59" spans="2:42">
      <c r="Z59"/>
      <c r="AA59"/>
      <c r="AB59"/>
      <c r="AC59"/>
      <c r="AD59"/>
      <c r="AE59"/>
      <c r="AF59"/>
      <c r="AG59"/>
      <c r="AH59"/>
      <c r="AI59"/>
      <c r="AJ59"/>
      <c r="AK59"/>
      <c r="AL59"/>
      <c r="AM59"/>
      <c r="AN59"/>
      <c r="AO59"/>
      <c r="AP59"/>
    </row>
    <row r="60" spans="2:42">
      <c r="Z60"/>
      <c r="AA60"/>
      <c r="AB60"/>
      <c r="AC60"/>
      <c r="AD60"/>
      <c r="AE60"/>
      <c r="AF60"/>
      <c r="AG60"/>
      <c r="AH60"/>
      <c r="AI60"/>
      <c r="AJ60"/>
      <c r="AK60"/>
      <c r="AL60"/>
      <c r="AM60"/>
      <c r="AN60"/>
      <c r="AO60"/>
      <c r="AP60"/>
    </row>
    <row r="61" spans="2:42">
      <c r="Z61"/>
      <c r="AA61"/>
      <c r="AB61"/>
      <c r="AC61"/>
      <c r="AD61"/>
      <c r="AE61"/>
      <c r="AF61"/>
      <c r="AG61"/>
      <c r="AH61"/>
      <c r="AI61"/>
      <c r="AJ61"/>
      <c r="AK61"/>
      <c r="AL61"/>
      <c r="AM61"/>
      <c r="AN61"/>
      <c r="AO61"/>
      <c r="AP61"/>
    </row>
    <row r="62" spans="2:42">
      <c r="Z62"/>
      <c r="AA62"/>
      <c r="AB62"/>
      <c r="AC62"/>
      <c r="AD62"/>
      <c r="AE62"/>
      <c r="AF62"/>
      <c r="AG62"/>
      <c r="AH62"/>
      <c r="AI62"/>
      <c r="AJ62"/>
      <c r="AK62"/>
      <c r="AL62"/>
      <c r="AM62"/>
      <c r="AN62"/>
      <c r="AO62"/>
      <c r="AP62"/>
    </row>
  </sheetData>
  <mergeCells count="3">
    <mergeCell ref="AA6:AL6"/>
    <mergeCell ref="AA22:AM22"/>
    <mergeCell ref="AA38:AN38"/>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3DF6-A729-4BBD-889E-8B99B637244E}">
  <dimension ref="B1:AZ32"/>
  <sheetViews>
    <sheetView zoomScaleNormal="100" workbookViewId="0"/>
  </sheetViews>
  <sheetFormatPr defaultRowHeight="12.75"/>
  <cols>
    <col min="22" max="52" width="5.7109375" customWidth="1"/>
  </cols>
  <sheetData>
    <row r="1" spans="2:52" ht="13.15" customHeight="1">
      <c r="B1" s="252" t="s">
        <v>41</v>
      </c>
    </row>
    <row r="2" spans="2:52">
      <c r="B2" s="253" t="s">
        <v>601</v>
      </c>
    </row>
    <row r="3" spans="2:52">
      <c r="C3" s="165"/>
      <c r="D3" s="165"/>
      <c r="E3" s="165"/>
      <c r="F3" s="165"/>
      <c r="G3" s="165"/>
      <c r="H3" s="165"/>
      <c r="I3" s="165"/>
      <c r="J3" s="165"/>
      <c r="K3" s="165"/>
      <c r="L3" s="165"/>
      <c r="M3" s="165"/>
      <c r="N3" s="165"/>
      <c r="O3" s="165"/>
      <c r="P3" s="165"/>
      <c r="Q3" s="165"/>
      <c r="R3" s="165"/>
      <c r="S3" s="165"/>
      <c r="T3" s="165"/>
      <c r="V3" s="609" t="s">
        <v>602</v>
      </c>
      <c r="W3" s="609"/>
      <c r="X3" s="609"/>
      <c r="Y3" s="609"/>
      <c r="Z3" s="609"/>
      <c r="AA3" s="609"/>
      <c r="AB3" s="609"/>
      <c r="AC3" s="268"/>
      <c r="AD3" s="609" t="s">
        <v>603</v>
      </c>
      <c r="AE3" s="609"/>
      <c r="AF3" s="609"/>
      <c r="AG3" s="609"/>
      <c r="AH3" s="609"/>
      <c r="AI3" s="609"/>
      <c r="AJ3" s="609"/>
      <c r="AK3" s="268"/>
      <c r="AL3" s="609" t="s">
        <v>604</v>
      </c>
      <c r="AM3" s="609"/>
      <c r="AN3" s="609"/>
      <c r="AO3" s="609"/>
      <c r="AP3" s="609"/>
      <c r="AQ3" s="609"/>
      <c r="AR3" s="609"/>
      <c r="AS3" s="268"/>
      <c r="AT3" s="609" t="s">
        <v>605</v>
      </c>
      <c r="AU3" s="609"/>
      <c r="AV3" s="609"/>
      <c r="AW3" s="609"/>
      <c r="AX3" s="609"/>
      <c r="AY3" s="609"/>
      <c r="AZ3" s="609"/>
    </row>
    <row r="4" spans="2:52">
      <c r="B4" s="165"/>
      <c r="C4" s="165"/>
      <c r="D4" s="165"/>
      <c r="E4" s="165"/>
      <c r="F4" s="165"/>
      <c r="G4" s="165"/>
      <c r="H4" s="165"/>
      <c r="I4" s="165"/>
      <c r="J4" s="165"/>
      <c r="K4" s="165"/>
      <c r="L4" s="165"/>
      <c r="M4" s="165"/>
      <c r="N4" s="165"/>
      <c r="O4" s="165"/>
      <c r="P4" s="165"/>
      <c r="Q4" s="165"/>
      <c r="R4" s="165"/>
      <c r="S4" s="165"/>
      <c r="T4" s="165"/>
      <c r="V4" s="268" t="s">
        <v>606</v>
      </c>
      <c r="W4" s="268" t="s">
        <v>607</v>
      </c>
      <c r="X4" s="268" t="s">
        <v>608</v>
      </c>
      <c r="Y4" s="268" t="s">
        <v>609</v>
      </c>
      <c r="Z4" s="268" t="s">
        <v>610</v>
      </c>
      <c r="AA4" s="268" t="s">
        <v>611</v>
      </c>
      <c r="AB4" s="268" t="s">
        <v>612</v>
      </c>
      <c r="AC4" s="268"/>
      <c r="AD4" s="268" t="s">
        <v>606</v>
      </c>
      <c r="AE4" s="268" t="s">
        <v>613</v>
      </c>
      <c r="AF4" s="268" t="s">
        <v>614</v>
      </c>
      <c r="AG4" s="268" t="s">
        <v>614</v>
      </c>
      <c r="AH4" s="268" t="s">
        <v>615</v>
      </c>
      <c r="AI4" s="268" t="s">
        <v>616</v>
      </c>
      <c r="AJ4" s="268" t="s">
        <v>616</v>
      </c>
      <c r="AK4" s="268"/>
      <c r="AL4" s="268" t="s">
        <v>606</v>
      </c>
      <c r="AM4" s="268" t="s">
        <v>607</v>
      </c>
      <c r="AN4" s="268" t="s">
        <v>617</v>
      </c>
      <c r="AO4" s="268" t="s">
        <v>618</v>
      </c>
      <c r="AP4" s="268" t="s">
        <v>610</v>
      </c>
      <c r="AQ4" s="268" t="s">
        <v>617</v>
      </c>
      <c r="AR4" s="268" t="s">
        <v>618</v>
      </c>
      <c r="AS4" s="268"/>
      <c r="AT4" s="268" t="s">
        <v>606</v>
      </c>
      <c r="AU4" s="268" t="s">
        <v>613</v>
      </c>
      <c r="AV4" s="268" t="s">
        <v>619</v>
      </c>
      <c r="AW4" s="268" t="s">
        <v>619</v>
      </c>
      <c r="AX4" s="268" t="s">
        <v>615</v>
      </c>
      <c r="AY4" s="268" t="s">
        <v>619</v>
      </c>
      <c r="AZ4" s="268" t="s">
        <v>619</v>
      </c>
    </row>
    <row r="5" spans="2:52">
      <c r="B5" s="165"/>
      <c r="C5" s="165"/>
      <c r="D5" s="165"/>
      <c r="E5" s="165"/>
      <c r="F5" s="165"/>
      <c r="G5" s="165"/>
      <c r="H5" s="165"/>
      <c r="I5" s="165"/>
      <c r="J5" s="165"/>
      <c r="K5" s="165"/>
      <c r="L5" s="165"/>
      <c r="M5" s="165"/>
      <c r="N5" s="165"/>
      <c r="O5" s="165"/>
      <c r="P5" s="165"/>
      <c r="Q5" s="165"/>
      <c r="R5" s="165"/>
      <c r="S5" s="165"/>
      <c r="T5" s="165"/>
      <c r="V5" s="268">
        <v>0</v>
      </c>
      <c r="W5" s="275">
        <v>0</v>
      </c>
      <c r="X5" s="275">
        <v>0</v>
      </c>
      <c r="Y5" s="275">
        <v>0</v>
      </c>
      <c r="Z5" s="275">
        <v>0</v>
      </c>
      <c r="AA5" s="275">
        <v>0</v>
      </c>
      <c r="AB5" s="275">
        <v>0</v>
      </c>
      <c r="AC5" s="268"/>
      <c r="AD5" s="268">
        <v>0</v>
      </c>
      <c r="AE5" s="275">
        <v>0</v>
      </c>
      <c r="AF5" s="275">
        <v>0</v>
      </c>
      <c r="AG5" s="275">
        <v>0</v>
      </c>
      <c r="AH5" s="275">
        <v>0</v>
      </c>
      <c r="AI5" s="275">
        <v>0</v>
      </c>
      <c r="AJ5" s="275">
        <v>0</v>
      </c>
      <c r="AK5" s="268"/>
      <c r="AL5" s="268">
        <v>0</v>
      </c>
      <c r="AM5" s="275">
        <v>0</v>
      </c>
      <c r="AN5" s="275">
        <v>0</v>
      </c>
      <c r="AO5" s="275">
        <v>0</v>
      </c>
      <c r="AP5" s="275">
        <v>0</v>
      </c>
      <c r="AQ5" s="275">
        <v>0</v>
      </c>
      <c r="AR5" s="275">
        <v>0</v>
      </c>
      <c r="AS5" s="268"/>
      <c r="AT5" s="268">
        <v>0</v>
      </c>
      <c r="AU5" s="275">
        <v>0</v>
      </c>
      <c r="AV5" s="275">
        <v>0</v>
      </c>
      <c r="AW5" s="275">
        <v>0</v>
      </c>
      <c r="AX5" s="275">
        <v>0</v>
      </c>
      <c r="AY5" s="275">
        <v>0</v>
      </c>
      <c r="AZ5" s="275">
        <v>0</v>
      </c>
    </row>
    <row r="6" spans="2:52">
      <c r="B6" s="165"/>
      <c r="C6" s="165"/>
      <c r="D6" s="165"/>
      <c r="E6" s="165"/>
      <c r="F6" s="165"/>
      <c r="G6" s="165"/>
      <c r="H6" s="165"/>
      <c r="I6" s="165"/>
      <c r="J6" s="165"/>
      <c r="K6" s="165"/>
      <c r="L6" s="165"/>
      <c r="M6" s="165"/>
      <c r="N6" s="165"/>
      <c r="O6" s="165"/>
      <c r="P6" s="165"/>
      <c r="Q6" s="165"/>
      <c r="R6" s="165"/>
      <c r="S6" s="165"/>
      <c r="T6" s="165"/>
      <c r="V6" s="268">
        <v>1</v>
      </c>
      <c r="W6" s="275">
        <v>0.14116989999999999</v>
      </c>
      <c r="X6" s="275">
        <v>0.20035210000000001</v>
      </c>
      <c r="Y6" s="275">
        <v>8.1987699999999997E-2</v>
      </c>
      <c r="Z6" s="275">
        <v>0.1322026</v>
      </c>
      <c r="AA6" s="275">
        <v>0.18376139999999999</v>
      </c>
      <c r="AB6" s="275">
        <v>8.0643900000000004E-2</v>
      </c>
      <c r="AC6" s="268"/>
      <c r="AD6" s="268">
        <v>1</v>
      </c>
      <c r="AE6" s="275">
        <v>0.17167060000000001</v>
      </c>
      <c r="AF6" s="275">
        <v>0.24931429999999999</v>
      </c>
      <c r="AG6" s="275">
        <v>9.4026899999999997E-2</v>
      </c>
      <c r="AH6" s="275">
        <v>9.4117000000000006E-2</v>
      </c>
      <c r="AI6" s="275">
        <v>0.16734589999999999</v>
      </c>
      <c r="AJ6" s="275">
        <v>2.08881E-2</v>
      </c>
      <c r="AK6" s="268"/>
      <c r="AL6" s="268">
        <v>1</v>
      </c>
      <c r="AM6" s="275">
        <v>9.7639999999999999E-4</v>
      </c>
      <c r="AN6" s="275">
        <v>5.5541000000000002E-3</v>
      </c>
      <c r="AO6" s="275">
        <v>-3.6013999999999998E-3</v>
      </c>
      <c r="AP6" s="275">
        <v>6.0353000000000004E-3</v>
      </c>
      <c r="AQ6" s="275">
        <v>9.7636000000000008E-3</v>
      </c>
      <c r="AR6" s="275">
        <v>2.3069000000000002E-3</v>
      </c>
      <c r="AS6" s="268"/>
      <c r="AT6" s="268">
        <v>1</v>
      </c>
      <c r="AU6" s="275">
        <v>1.5922E-3</v>
      </c>
      <c r="AV6" s="275">
        <v>6.6222E-3</v>
      </c>
      <c r="AW6" s="275">
        <v>-3.4377000000000001E-3</v>
      </c>
      <c r="AX6" s="275">
        <v>8.1828000000000005E-3</v>
      </c>
      <c r="AY6" s="275">
        <v>1.39458E-2</v>
      </c>
      <c r="AZ6" s="275">
        <v>2.4199E-3</v>
      </c>
    </row>
    <row r="7" spans="2:52">
      <c r="B7" s="165"/>
      <c r="C7" s="165"/>
      <c r="D7" s="165"/>
      <c r="E7" s="165"/>
      <c r="F7" s="165"/>
      <c r="G7" s="165"/>
      <c r="H7" s="165"/>
      <c r="I7" s="165"/>
      <c r="J7" s="165"/>
      <c r="K7" s="165"/>
      <c r="L7" s="165"/>
      <c r="M7" s="165"/>
      <c r="N7" s="165"/>
      <c r="O7" s="165"/>
      <c r="P7" s="165"/>
      <c r="Q7" s="165"/>
      <c r="R7" s="165"/>
      <c r="S7" s="165"/>
      <c r="T7" s="165"/>
      <c r="V7" s="268">
        <v>2</v>
      </c>
      <c r="W7" s="275">
        <v>0.14623620000000001</v>
      </c>
      <c r="X7" s="275">
        <v>0.24039820000000001</v>
      </c>
      <c r="Y7" s="275">
        <v>5.2074200000000001E-2</v>
      </c>
      <c r="Z7" s="275">
        <v>0.1209615</v>
      </c>
      <c r="AA7" s="275">
        <v>0.1991579</v>
      </c>
      <c r="AB7" s="275">
        <v>4.27651E-2</v>
      </c>
      <c r="AC7" s="268"/>
      <c r="AD7" s="268">
        <v>2</v>
      </c>
      <c r="AE7" s="275">
        <v>0.1991308</v>
      </c>
      <c r="AF7" s="275">
        <v>0.27898129999999999</v>
      </c>
      <c r="AG7" s="275">
        <v>0.11928039999999999</v>
      </c>
      <c r="AH7" s="275">
        <v>6.8099199999999999E-2</v>
      </c>
      <c r="AI7" s="275">
        <v>0.1517607</v>
      </c>
      <c r="AJ7" s="275">
        <v>-1.5562400000000001E-2</v>
      </c>
      <c r="AK7" s="268"/>
      <c r="AL7" s="268">
        <v>2</v>
      </c>
      <c r="AM7" s="275">
        <v>3.8779999999999999E-3</v>
      </c>
      <c r="AN7" s="275">
        <v>1.35377E-2</v>
      </c>
      <c r="AO7" s="275">
        <v>-5.7815999999999996E-3</v>
      </c>
      <c r="AP7" s="275">
        <v>1.13822E-2</v>
      </c>
      <c r="AQ7" s="275">
        <v>1.9858899999999999E-2</v>
      </c>
      <c r="AR7" s="275">
        <v>2.9055999999999999E-3</v>
      </c>
      <c r="AS7" s="268"/>
      <c r="AT7" s="268">
        <v>2</v>
      </c>
      <c r="AU7" s="275">
        <v>4.4355000000000002E-3</v>
      </c>
      <c r="AV7" s="275">
        <v>1.9082499999999999E-2</v>
      </c>
      <c r="AW7" s="275">
        <v>-1.0211599999999999E-2</v>
      </c>
      <c r="AX7" s="275">
        <v>1.46792E-2</v>
      </c>
      <c r="AY7" s="275">
        <v>2.4235699999999999E-2</v>
      </c>
      <c r="AZ7" s="275">
        <v>5.1228000000000003E-3</v>
      </c>
    </row>
    <row r="8" spans="2:52">
      <c r="B8" s="165"/>
      <c r="C8" s="165"/>
      <c r="D8" s="165"/>
      <c r="E8" s="165"/>
      <c r="F8" s="165"/>
      <c r="G8" s="165"/>
      <c r="H8" s="165"/>
      <c r="I8" s="165"/>
      <c r="J8" s="165"/>
      <c r="K8" s="165"/>
      <c r="L8" s="165"/>
      <c r="M8" s="165"/>
      <c r="N8" s="165"/>
      <c r="O8" s="165"/>
      <c r="P8" s="165"/>
      <c r="Q8" s="165"/>
      <c r="R8" s="165"/>
      <c r="S8" s="165"/>
      <c r="T8" s="165"/>
      <c r="V8" s="268">
        <v>3</v>
      </c>
      <c r="W8" s="275">
        <v>0.16734599999999999</v>
      </c>
      <c r="X8" s="275">
        <v>0.27188839999999997</v>
      </c>
      <c r="Y8" s="275">
        <v>6.2803600000000001E-2</v>
      </c>
      <c r="Z8" s="275">
        <v>9.3246599999999999E-2</v>
      </c>
      <c r="AA8" s="275">
        <v>0.1909836</v>
      </c>
      <c r="AB8" s="275">
        <v>-4.4904000000000003E-3</v>
      </c>
      <c r="AC8" s="268"/>
      <c r="AD8" s="268">
        <v>3</v>
      </c>
      <c r="AE8" s="275">
        <v>0.18998670000000001</v>
      </c>
      <c r="AF8" s="275">
        <v>0.29199409999999998</v>
      </c>
      <c r="AG8" s="275">
        <v>8.7979299999999996E-2</v>
      </c>
      <c r="AH8" s="275">
        <v>4.9375599999999999E-2</v>
      </c>
      <c r="AI8" s="275">
        <v>0.17414089999999999</v>
      </c>
      <c r="AJ8" s="275">
        <v>-7.5389700000000004E-2</v>
      </c>
      <c r="AK8" s="268"/>
      <c r="AL8" s="268">
        <v>3</v>
      </c>
      <c r="AM8" s="275">
        <v>5.3131000000000003E-3</v>
      </c>
      <c r="AN8" s="275">
        <v>2.03523E-2</v>
      </c>
      <c r="AO8" s="275">
        <v>-9.7260999999999997E-3</v>
      </c>
      <c r="AP8" s="275">
        <v>1.7273400000000001E-2</v>
      </c>
      <c r="AQ8" s="275">
        <v>3.15287E-2</v>
      </c>
      <c r="AR8" s="275">
        <v>3.0182E-3</v>
      </c>
      <c r="AS8" s="268"/>
      <c r="AT8" s="268">
        <v>3</v>
      </c>
      <c r="AU8" s="275">
        <v>4.3730000000000002E-3</v>
      </c>
      <c r="AV8" s="275">
        <v>2.7714099999999998E-2</v>
      </c>
      <c r="AW8" s="275">
        <v>-1.8968100000000002E-2</v>
      </c>
      <c r="AX8" s="275">
        <v>2.5931800000000001E-2</v>
      </c>
      <c r="AY8" s="275">
        <v>4.0633799999999998E-2</v>
      </c>
      <c r="AZ8" s="275">
        <v>1.1229899999999999E-2</v>
      </c>
    </row>
    <row r="9" spans="2:52">
      <c r="B9" s="165"/>
      <c r="C9" s="165"/>
      <c r="D9" s="165"/>
      <c r="E9" s="165"/>
      <c r="F9" s="165"/>
      <c r="G9" s="165"/>
      <c r="H9" s="165"/>
      <c r="I9" s="165"/>
      <c r="J9" s="165"/>
      <c r="K9" s="165"/>
      <c r="L9" s="165"/>
      <c r="M9" s="165"/>
      <c r="N9" s="165"/>
      <c r="O9" s="165"/>
      <c r="P9" s="165"/>
      <c r="Q9" s="165"/>
      <c r="R9" s="165"/>
      <c r="S9" s="165"/>
      <c r="T9" s="165"/>
      <c r="V9" s="268">
        <v>4</v>
      </c>
      <c r="W9" s="275">
        <v>0.1981629</v>
      </c>
      <c r="X9" s="275">
        <v>0.33089540000000001</v>
      </c>
      <c r="Y9" s="275">
        <v>6.54304E-2</v>
      </c>
      <c r="Z9" s="275">
        <v>7.1394899999999997E-2</v>
      </c>
      <c r="AA9" s="275">
        <v>0.18353610000000001</v>
      </c>
      <c r="AB9" s="275">
        <v>-4.0746200000000003E-2</v>
      </c>
      <c r="AC9" s="268"/>
      <c r="AD9" s="268">
        <v>4</v>
      </c>
      <c r="AE9" s="275">
        <v>0.29291060000000002</v>
      </c>
      <c r="AF9" s="275">
        <v>0.39799420000000002</v>
      </c>
      <c r="AG9" s="275">
        <v>0.1878271</v>
      </c>
      <c r="AH9" s="275">
        <v>-7.5672600000000007E-2</v>
      </c>
      <c r="AI9" s="275">
        <v>0.1141137</v>
      </c>
      <c r="AJ9" s="275">
        <v>-0.26545879999999999</v>
      </c>
      <c r="AK9" s="268"/>
      <c r="AL9" s="268">
        <v>4</v>
      </c>
      <c r="AM9" s="275">
        <v>2.3555E-3</v>
      </c>
      <c r="AN9" s="275">
        <v>2.3536999999999999E-2</v>
      </c>
      <c r="AO9" s="275">
        <v>-1.8825999999999999E-2</v>
      </c>
      <c r="AP9" s="275">
        <v>2.1568E-2</v>
      </c>
      <c r="AQ9" s="275">
        <v>4.01409E-2</v>
      </c>
      <c r="AR9" s="275">
        <v>2.9951000000000001E-3</v>
      </c>
      <c r="AS9" s="268"/>
      <c r="AT9" s="268">
        <v>4</v>
      </c>
      <c r="AU9" s="275">
        <v>1.09646E-2</v>
      </c>
      <c r="AV9" s="275">
        <v>4.1170900000000003E-2</v>
      </c>
      <c r="AW9" s="275">
        <v>-1.9241600000000001E-2</v>
      </c>
      <c r="AX9" s="275">
        <v>2.7218699999999998E-2</v>
      </c>
      <c r="AY9" s="275">
        <v>4.4784400000000002E-2</v>
      </c>
      <c r="AZ9" s="275">
        <v>9.6530000000000001E-3</v>
      </c>
    </row>
    <row r="10" spans="2:52">
      <c r="B10" s="165"/>
      <c r="C10" s="165"/>
      <c r="D10" s="165"/>
      <c r="E10" s="165"/>
      <c r="F10" s="165"/>
      <c r="G10" s="165"/>
      <c r="H10" s="165"/>
      <c r="I10" s="165"/>
      <c r="J10" s="165"/>
      <c r="K10" s="165"/>
      <c r="L10" s="165"/>
      <c r="M10" s="165"/>
      <c r="N10" s="165"/>
      <c r="O10" s="165"/>
      <c r="P10" s="165"/>
      <c r="Q10" s="165"/>
      <c r="R10" s="165"/>
      <c r="S10" s="165"/>
      <c r="T10" s="165"/>
      <c r="V10" s="268">
        <v>5</v>
      </c>
      <c r="W10" s="275">
        <v>0.1417484</v>
      </c>
      <c r="X10" s="275">
        <v>0.27782279999999998</v>
      </c>
      <c r="Y10" s="275">
        <v>5.6740000000000002E-3</v>
      </c>
      <c r="Z10" s="275">
        <v>9.0909299999999998E-2</v>
      </c>
      <c r="AA10" s="275">
        <v>0.22129789999999999</v>
      </c>
      <c r="AB10" s="275">
        <v>-3.9479300000000002E-2</v>
      </c>
      <c r="AC10" s="268"/>
      <c r="AD10" s="268">
        <v>5</v>
      </c>
      <c r="AE10" s="275">
        <v>0.2737098</v>
      </c>
      <c r="AF10" s="275">
        <v>0.37385069999999998</v>
      </c>
      <c r="AG10" s="275">
        <v>0.1735689</v>
      </c>
      <c r="AH10" s="275">
        <v>-4.7065900000000001E-2</v>
      </c>
      <c r="AI10" s="275">
        <v>0.1543802</v>
      </c>
      <c r="AJ10" s="275">
        <v>-0.24851200000000001</v>
      </c>
      <c r="AK10" s="268"/>
      <c r="AL10" s="268">
        <v>5</v>
      </c>
      <c r="AM10" s="275">
        <v>1.13556E-2</v>
      </c>
      <c r="AN10" s="275">
        <v>3.7367600000000001E-2</v>
      </c>
      <c r="AO10" s="275">
        <v>-1.46564E-2</v>
      </c>
      <c r="AP10" s="275">
        <v>2.5070100000000001E-2</v>
      </c>
      <c r="AQ10" s="275">
        <v>4.7065799999999998E-2</v>
      </c>
      <c r="AR10" s="275">
        <v>3.0742999999999999E-3</v>
      </c>
      <c r="AS10" s="268"/>
      <c r="AT10" s="268">
        <v>5</v>
      </c>
      <c r="AU10" s="275">
        <v>2.3722400000000001E-2</v>
      </c>
      <c r="AV10" s="275">
        <v>6.2636200000000003E-2</v>
      </c>
      <c r="AW10" s="275">
        <v>-1.51913E-2</v>
      </c>
      <c r="AX10" s="275">
        <v>2.5202599999999999E-2</v>
      </c>
      <c r="AY10" s="275">
        <v>4.8235899999999998E-2</v>
      </c>
      <c r="AZ10" s="275">
        <v>2.1692E-3</v>
      </c>
    </row>
    <row r="11" spans="2:52">
      <c r="B11" s="165"/>
      <c r="C11" s="165"/>
      <c r="D11" s="165"/>
      <c r="E11" s="165"/>
      <c r="F11" s="165"/>
      <c r="G11" s="165"/>
      <c r="H11" s="165"/>
      <c r="I11" s="165"/>
      <c r="J11" s="165"/>
      <c r="K11" s="165"/>
      <c r="L11" s="165"/>
      <c r="M11" s="165"/>
      <c r="N11" s="165"/>
      <c r="O11" s="165"/>
      <c r="P11" s="165"/>
      <c r="Q11" s="165"/>
      <c r="R11" s="165"/>
      <c r="S11" s="165"/>
      <c r="T11" s="165"/>
      <c r="V11" s="268">
        <v>6</v>
      </c>
      <c r="W11" s="275">
        <v>0.1802763</v>
      </c>
      <c r="X11" s="275">
        <v>0.30980790000000002</v>
      </c>
      <c r="Y11" s="275">
        <v>5.07448E-2</v>
      </c>
      <c r="Z11" s="275">
        <v>8.8652099999999998E-2</v>
      </c>
      <c r="AA11" s="275">
        <v>0.19859689999999999</v>
      </c>
      <c r="AB11" s="275">
        <v>-2.1292700000000001E-2</v>
      </c>
      <c r="AC11" s="268"/>
      <c r="AD11" s="268">
        <v>6</v>
      </c>
      <c r="AE11" s="275">
        <v>0.2710398</v>
      </c>
      <c r="AF11" s="275">
        <v>0.41688700000000001</v>
      </c>
      <c r="AG11" s="275">
        <v>0.12519259999999999</v>
      </c>
      <c r="AH11" s="275">
        <v>-3.02171E-2</v>
      </c>
      <c r="AI11" s="275">
        <v>0.18825</v>
      </c>
      <c r="AJ11" s="275">
        <v>-0.24868419999999999</v>
      </c>
      <c r="AK11" s="268"/>
      <c r="AL11" s="268">
        <v>6</v>
      </c>
      <c r="AM11" s="275">
        <v>2.8187299999999998E-2</v>
      </c>
      <c r="AN11" s="275">
        <v>5.9655100000000003E-2</v>
      </c>
      <c r="AO11" s="275">
        <v>-3.2804000000000002E-3</v>
      </c>
      <c r="AP11" s="275">
        <v>3.2773700000000003E-2</v>
      </c>
      <c r="AQ11" s="275">
        <v>5.69157E-2</v>
      </c>
      <c r="AR11" s="275">
        <v>8.6317000000000008E-3</v>
      </c>
      <c r="AS11" s="268"/>
      <c r="AT11" s="268">
        <v>6</v>
      </c>
      <c r="AU11" s="275">
        <v>3.737E-2</v>
      </c>
      <c r="AV11" s="275">
        <v>8.0795800000000001E-2</v>
      </c>
      <c r="AW11" s="275">
        <v>-6.0556999999999998E-3</v>
      </c>
      <c r="AX11" s="275">
        <v>3.1275600000000001E-2</v>
      </c>
      <c r="AY11" s="275">
        <v>5.8006700000000001E-2</v>
      </c>
      <c r="AZ11" s="275">
        <v>4.5446000000000002E-3</v>
      </c>
    </row>
    <row r="12" spans="2:52">
      <c r="B12" s="165"/>
      <c r="C12" s="165"/>
      <c r="D12" s="165"/>
      <c r="E12" s="165"/>
      <c r="F12" s="165"/>
      <c r="G12" s="165"/>
      <c r="H12" s="165"/>
      <c r="I12" s="165"/>
      <c r="J12" s="165"/>
      <c r="K12" s="165"/>
      <c r="L12" s="165"/>
      <c r="M12" s="165"/>
      <c r="N12" s="165"/>
      <c r="O12" s="165"/>
      <c r="P12" s="165"/>
      <c r="Q12" s="165"/>
      <c r="R12" s="165"/>
      <c r="S12" s="165"/>
      <c r="T12" s="165"/>
      <c r="V12" s="268">
        <v>7</v>
      </c>
      <c r="W12" s="275">
        <v>0.2495859</v>
      </c>
      <c r="X12" s="275">
        <v>0.40976800000000002</v>
      </c>
      <c r="Y12" s="275">
        <v>8.9403899999999994E-2</v>
      </c>
      <c r="Z12" s="275">
        <v>0.1272576</v>
      </c>
      <c r="AA12" s="275">
        <v>0.23449629999999999</v>
      </c>
      <c r="AB12" s="275">
        <v>2.0018899999999999E-2</v>
      </c>
      <c r="AC12" s="268"/>
      <c r="AD12" s="268">
        <v>7</v>
      </c>
      <c r="AE12" s="275">
        <v>0.310556</v>
      </c>
      <c r="AF12" s="275">
        <v>0.47717399999999999</v>
      </c>
      <c r="AG12" s="275">
        <v>0.14393800000000001</v>
      </c>
      <c r="AH12" s="275">
        <v>1.4016600000000001E-2</v>
      </c>
      <c r="AI12" s="275">
        <v>0.25644820000000002</v>
      </c>
      <c r="AJ12" s="275">
        <v>-0.2284149</v>
      </c>
      <c r="AK12" s="268"/>
      <c r="AL12" s="268">
        <v>7</v>
      </c>
      <c r="AM12" s="275">
        <v>3.8351400000000001E-2</v>
      </c>
      <c r="AN12" s="275">
        <v>7.7962900000000002E-2</v>
      </c>
      <c r="AO12" s="275">
        <v>-1.2600999999999999E-3</v>
      </c>
      <c r="AP12" s="275">
        <v>3.4709299999999998E-2</v>
      </c>
      <c r="AQ12" s="275">
        <v>6.1388600000000001E-2</v>
      </c>
      <c r="AR12" s="275">
        <v>8.0301000000000001E-3</v>
      </c>
      <c r="AS12" s="268"/>
      <c r="AT12" s="268">
        <v>7</v>
      </c>
      <c r="AU12" s="275">
        <v>5.5330200000000003E-2</v>
      </c>
      <c r="AV12" s="275">
        <v>9.7426100000000002E-2</v>
      </c>
      <c r="AW12" s="275">
        <v>1.32342E-2</v>
      </c>
      <c r="AX12" s="275">
        <v>2.27657E-2</v>
      </c>
      <c r="AY12" s="275">
        <v>5.5862099999999998E-2</v>
      </c>
      <c r="AZ12" s="275">
        <v>-1.03307E-2</v>
      </c>
    </row>
    <row r="13" spans="2:52">
      <c r="B13" s="165"/>
      <c r="C13" s="165"/>
      <c r="D13" s="165"/>
      <c r="E13" s="165"/>
      <c r="F13" s="165"/>
      <c r="G13" s="165"/>
      <c r="H13" s="165"/>
      <c r="I13" s="165"/>
      <c r="J13" s="165"/>
      <c r="K13" s="165"/>
      <c r="L13" s="165"/>
      <c r="M13" s="165"/>
      <c r="N13" s="165"/>
      <c r="O13" s="165"/>
      <c r="P13" s="165"/>
      <c r="Q13" s="165"/>
      <c r="R13" s="165"/>
      <c r="S13" s="165"/>
      <c r="T13" s="165"/>
      <c r="V13" s="268">
        <v>8</v>
      </c>
      <c r="W13" s="275">
        <v>0.27610649999999998</v>
      </c>
      <c r="X13" s="275">
        <v>0.47970370000000001</v>
      </c>
      <c r="Y13" s="275">
        <v>7.2509299999999999E-2</v>
      </c>
      <c r="Z13" s="275">
        <v>0.1459724</v>
      </c>
      <c r="AA13" s="275">
        <v>0.2306956</v>
      </c>
      <c r="AB13" s="275">
        <v>6.1249199999999997E-2</v>
      </c>
      <c r="AC13" s="268"/>
      <c r="AD13" s="268">
        <v>8</v>
      </c>
      <c r="AE13" s="275">
        <v>0.35456369999999998</v>
      </c>
      <c r="AF13" s="275">
        <v>0.51411569999999995</v>
      </c>
      <c r="AG13" s="275">
        <v>0.19501170000000001</v>
      </c>
      <c r="AH13" s="275">
        <v>1.0373E-2</v>
      </c>
      <c r="AI13" s="275">
        <v>0.25388690000000003</v>
      </c>
      <c r="AJ13" s="275">
        <v>-0.23314090000000001</v>
      </c>
      <c r="AK13" s="268"/>
      <c r="AL13" s="268">
        <v>8</v>
      </c>
      <c r="AM13" s="275">
        <v>4.1693500000000001E-2</v>
      </c>
      <c r="AN13" s="275">
        <v>8.9927099999999996E-2</v>
      </c>
      <c r="AO13" s="275">
        <v>-6.5401000000000001E-3</v>
      </c>
      <c r="AP13" s="275">
        <v>3.2807000000000003E-2</v>
      </c>
      <c r="AQ13" s="275">
        <v>6.3027E-2</v>
      </c>
      <c r="AR13" s="275">
        <v>2.5871000000000002E-3</v>
      </c>
      <c r="AS13" s="268"/>
      <c r="AT13" s="268">
        <v>8</v>
      </c>
      <c r="AU13" s="275">
        <v>6.4389799999999997E-2</v>
      </c>
      <c r="AV13" s="275">
        <v>0.1129922</v>
      </c>
      <c r="AW13" s="275">
        <v>1.5787499999999999E-2</v>
      </c>
      <c r="AX13" s="275">
        <v>1.37752E-2</v>
      </c>
      <c r="AY13" s="275">
        <v>5.9147199999999997E-2</v>
      </c>
      <c r="AZ13" s="275">
        <v>-3.1596800000000001E-2</v>
      </c>
    </row>
    <row r="14" spans="2:52">
      <c r="B14" s="165"/>
      <c r="C14" s="165"/>
      <c r="D14" s="165"/>
      <c r="E14" s="165"/>
      <c r="F14" s="165"/>
      <c r="G14" s="165"/>
      <c r="H14" s="165"/>
      <c r="I14" s="165"/>
      <c r="J14" s="165"/>
      <c r="K14" s="165"/>
      <c r="L14" s="165"/>
      <c r="M14" s="165"/>
      <c r="N14" s="165"/>
      <c r="O14" s="165"/>
      <c r="P14" s="165"/>
      <c r="Q14" s="165"/>
      <c r="R14" s="165"/>
      <c r="S14" s="165"/>
      <c r="T14" s="165"/>
      <c r="V14" s="268">
        <v>9</v>
      </c>
      <c r="W14" s="275">
        <v>0.20839360000000001</v>
      </c>
      <c r="X14" s="275">
        <v>0.37127189999999999</v>
      </c>
      <c r="Y14" s="275">
        <v>4.5515300000000002E-2</v>
      </c>
      <c r="Z14" s="275">
        <v>8.2800700000000005E-2</v>
      </c>
      <c r="AA14" s="275">
        <v>0.17682200000000001</v>
      </c>
      <c r="AB14" s="275">
        <v>-1.12205E-2</v>
      </c>
      <c r="AC14" s="268"/>
      <c r="AD14" s="268">
        <v>9</v>
      </c>
      <c r="AE14" s="275">
        <v>0.31412770000000001</v>
      </c>
      <c r="AF14" s="275">
        <v>0.46398780000000001</v>
      </c>
      <c r="AG14" s="275">
        <v>0.16426760000000001</v>
      </c>
      <c r="AH14" s="275">
        <v>-8.0331299999999994E-2</v>
      </c>
      <c r="AI14" s="275">
        <v>0.17622889999999999</v>
      </c>
      <c r="AJ14" s="275">
        <v>-0.33689150000000001</v>
      </c>
      <c r="AK14" s="268"/>
      <c r="AL14" s="268">
        <v>9</v>
      </c>
      <c r="AM14" s="275">
        <v>4.8605700000000002E-2</v>
      </c>
      <c r="AN14" s="275">
        <v>0.1021276</v>
      </c>
      <c r="AO14" s="275">
        <v>-4.9160999999999996E-3</v>
      </c>
      <c r="AP14" s="275">
        <v>3.6252899999999998E-2</v>
      </c>
      <c r="AQ14" s="275">
        <v>6.9250099999999995E-2</v>
      </c>
      <c r="AR14" s="275">
        <v>3.2556999999999998E-3</v>
      </c>
      <c r="AS14" s="268"/>
      <c r="AT14" s="268">
        <v>9</v>
      </c>
      <c r="AU14" s="275">
        <v>8.2635E-2</v>
      </c>
      <c r="AV14" s="275">
        <v>0.1363895</v>
      </c>
      <c r="AW14" s="275">
        <v>2.8880599999999999E-2</v>
      </c>
      <c r="AX14" s="275">
        <v>6.9411999999999998E-3</v>
      </c>
      <c r="AY14" s="275">
        <v>6.2911599999999998E-2</v>
      </c>
      <c r="AZ14" s="275">
        <v>-4.9029200000000002E-2</v>
      </c>
    </row>
    <row r="15" spans="2:52">
      <c r="B15" s="165"/>
      <c r="C15" s="165"/>
      <c r="D15" s="165"/>
      <c r="E15" s="165"/>
      <c r="F15" s="165"/>
      <c r="G15" s="165"/>
      <c r="H15" s="165"/>
      <c r="I15" s="165"/>
      <c r="J15" s="165"/>
      <c r="K15" s="165"/>
      <c r="L15" s="165"/>
      <c r="M15" s="165"/>
      <c r="N15" s="165"/>
      <c r="O15" s="165"/>
      <c r="P15" s="165"/>
      <c r="Q15" s="165"/>
      <c r="R15" s="165"/>
      <c r="S15" s="165"/>
      <c r="T15" s="165"/>
      <c r="V15" s="268">
        <v>10</v>
      </c>
      <c r="W15" s="275">
        <v>0.29158440000000002</v>
      </c>
      <c r="X15" s="275">
        <v>0.50186410000000004</v>
      </c>
      <c r="Y15" s="275">
        <v>8.1304600000000005E-2</v>
      </c>
      <c r="Z15" s="275">
        <v>-1.2217E-2</v>
      </c>
      <c r="AA15" s="275">
        <v>9.1093999999999994E-2</v>
      </c>
      <c r="AB15" s="275">
        <v>-0.11552800000000001</v>
      </c>
      <c r="AC15" s="268"/>
      <c r="AD15" s="268">
        <v>10</v>
      </c>
      <c r="AE15" s="275">
        <v>0.2461179</v>
      </c>
      <c r="AF15" s="275">
        <v>0.41624090000000002</v>
      </c>
      <c r="AG15" s="275">
        <v>7.5994800000000001E-2</v>
      </c>
      <c r="AH15" s="275">
        <v>-0.1381455</v>
      </c>
      <c r="AI15" s="275">
        <v>0.12900049999999999</v>
      </c>
      <c r="AJ15" s="275">
        <v>-0.40529140000000002</v>
      </c>
      <c r="AK15" s="268"/>
      <c r="AL15" s="268">
        <v>10</v>
      </c>
      <c r="AM15" s="275">
        <v>5.8455E-2</v>
      </c>
      <c r="AN15" s="275">
        <v>0.1232297</v>
      </c>
      <c r="AO15" s="275">
        <v>-6.3195999999999999E-3</v>
      </c>
      <c r="AP15" s="275">
        <v>4.3817700000000001E-2</v>
      </c>
      <c r="AQ15" s="275">
        <v>7.6128899999999999E-2</v>
      </c>
      <c r="AR15" s="275">
        <v>1.1506499999999999E-2</v>
      </c>
      <c r="AS15" s="268"/>
      <c r="AT15" s="268">
        <v>10</v>
      </c>
      <c r="AU15" s="275">
        <v>9.8084199999999996E-2</v>
      </c>
      <c r="AV15" s="275">
        <v>0.15571450000000001</v>
      </c>
      <c r="AW15" s="275">
        <v>4.0453999999999997E-2</v>
      </c>
      <c r="AX15" s="275">
        <v>8.1206999999999998E-3</v>
      </c>
      <c r="AY15" s="275">
        <v>7.0114200000000002E-2</v>
      </c>
      <c r="AZ15" s="275">
        <v>-5.3872700000000003E-2</v>
      </c>
    </row>
    <row r="16" spans="2:52">
      <c r="B16" s="165"/>
      <c r="C16" s="165"/>
      <c r="D16" s="165"/>
      <c r="E16" s="165"/>
      <c r="F16" s="165"/>
      <c r="G16" s="165"/>
      <c r="H16" s="165"/>
      <c r="I16" s="165"/>
      <c r="J16" s="165"/>
      <c r="K16" s="165"/>
      <c r="L16" s="165"/>
      <c r="M16" s="165"/>
      <c r="N16" s="165"/>
      <c r="O16" s="165"/>
      <c r="P16" s="165"/>
      <c r="Q16" s="165"/>
      <c r="R16" s="165"/>
      <c r="S16" s="165"/>
      <c r="T16" s="165"/>
      <c r="V16" s="268">
        <v>11</v>
      </c>
      <c r="W16" s="275">
        <v>0.31635419999999997</v>
      </c>
      <c r="X16" s="275">
        <v>0.55936339999999996</v>
      </c>
      <c r="Y16" s="275">
        <v>7.3344900000000005E-2</v>
      </c>
      <c r="Z16" s="275">
        <v>-1.38754E-2</v>
      </c>
      <c r="AA16" s="275">
        <v>9.9742499999999998E-2</v>
      </c>
      <c r="AB16" s="275">
        <v>-0.1274932</v>
      </c>
      <c r="AC16" s="268"/>
      <c r="AD16" s="268">
        <v>11</v>
      </c>
      <c r="AE16" s="275">
        <v>0.25823990000000002</v>
      </c>
      <c r="AF16" s="275">
        <v>0.43410379999999998</v>
      </c>
      <c r="AG16" s="275">
        <v>8.2376000000000005E-2</v>
      </c>
      <c r="AH16" s="275">
        <v>-0.15344289999999999</v>
      </c>
      <c r="AI16" s="275">
        <v>0.118607</v>
      </c>
      <c r="AJ16" s="275">
        <v>-0.4254928</v>
      </c>
      <c r="AK16" s="268"/>
      <c r="AL16" s="268">
        <v>11</v>
      </c>
      <c r="AM16" s="275">
        <v>6.6156400000000004E-2</v>
      </c>
      <c r="AN16" s="275">
        <v>0.1385054</v>
      </c>
      <c r="AO16" s="275">
        <v>-6.1926000000000004E-3</v>
      </c>
      <c r="AP16" s="275">
        <v>4.5137999999999998E-2</v>
      </c>
      <c r="AQ16" s="275">
        <v>7.7374200000000004E-2</v>
      </c>
      <c r="AR16" s="275">
        <v>1.29017E-2</v>
      </c>
      <c r="AS16" s="268"/>
      <c r="AT16" s="268">
        <v>11</v>
      </c>
      <c r="AU16" s="275">
        <v>0.10614899999999999</v>
      </c>
      <c r="AV16" s="275">
        <v>0.1742824</v>
      </c>
      <c r="AW16" s="275">
        <v>3.8015500000000001E-2</v>
      </c>
      <c r="AX16" s="275">
        <v>4.3782999999999999E-3</v>
      </c>
      <c r="AY16" s="275">
        <v>7.4809500000000001E-2</v>
      </c>
      <c r="AZ16" s="275">
        <v>-6.6052799999999995E-2</v>
      </c>
    </row>
    <row r="17" spans="2:52">
      <c r="B17" s="165"/>
      <c r="C17" s="165"/>
      <c r="D17" s="165"/>
      <c r="E17" s="165"/>
      <c r="F17" s="165"/>
      <c r="G17" s="165"/>
      <c r="H17" s="165"/>
      <c r="I17" s="165"/>
      <c r="J17" s="165"/>
      <c r="K17" s="165"/>
      <c r="L17" s="165"/>
      <c r="M17" s="165"/>
      <c r="N17" s="165"/>
      <c r="O17" s="165"/>
      <c r="P17" s="165"/>
      <c r="Q17" s="165"/>
      <c r="R17" s="165"/>
      <c r="S17" s="165"/>
      <c r="T17" s="165"/>
      <c r="V17" s="268">
        <v>12</v>
      </c>
      <c r="W17" s="275">
        <v>0.30059019999999997</v>
      </c>
      <c r="X17" s="275">
        <v>0.54108239999999996</v>
      </c>
      <c r="Y17" s="275">
        <v>6.0098100000000002E-2</v>
      </c>
      <c r="Z17" s="275">
        <v>3.0614800000000001E-2</v>
      </c>
      <c r="AA17" s="275">
        <v>0.16071869999999999</v>
      </c>
      <c r="AB17" s="275">
        <v>-9.94892E-2</v>
      </c>
      <c r="AC17" s="268"/>
      <c r="AD17" s="268">
        <v>12</v>
      </c>
      <c r="AE17" s="275">
        <v>0.31839580000000001</v>
      </c>
      <c r="AF17" s="275">
        <v>0.53408310000000003</v>
      </c>
      <c r="AG17" s="275">
        <v>0.10270840000000001</v>
      </c>
      <c r="AH17" s="275">
        <v>-0.1393981</v>
      </c>
      <c r="AI17" s="275">
        <v>0.18032000000000001</v>
      </c>
      <c r="AJ17" s="275">
        <v>-0.45911619999999997</v>
      </c>
      <c r="AK17" s="268"/>
      <c r="AL17" s="268">
        <v>12</v>
      </c>
      <c r="AM17" s="275">
        <v>7.6215900000000003E-2</v>
      </c>
      <c r="AN17" s="275">
        <v>0.15313879999999999</v>
      </c>
      <c r="AO17" s="275">
        <v>-7.0699999999999995E-4</v>
      </c>
      <c r="AP17" s="275">
        <v>4.7123400000000003E-2</v>
      </c>
      <c r="AQ17" s="275">
        <v>7.88851E-2</v>
      </c>
      <c r="AR17" s="275">
        <v>1.5361700000000001E-2</v>
      </c>
      <c r="AS17" s="268"/>
      <c r="AT17" s="268">
        <v>12</v>
      </c>
      <c r="AU17" s="275">
        <v>0.1065227</v>
      </c>
      <c r="AV17" s="275">
        <v>0.18764</v>
      </c>
      <c r="AW17" s="275">
        <v>2.5405400000000002E-2</v>
      </c>
      <c r="AX17" s="275">
        <v>9.6264999999999996E-3</v>
      </c>
      <c r="AY17" s="275">
        <v>8.6652999999999994E-2</v>
      </c>
      <c r="AZ17" s="275">
        <v>-6.7400100000000004E-2</v>
      </c>
    </row>
    <row r="18" spans="2:52">
      <c r="B18" s="165"/>
      <c r="C18" s="165"/>
      <c r="D18" s="165"/>
      <c r="E18" s="165"/>
      <c r="F18" s="165"/>
      <c r="G18" s="165"/>
      <c r="H18" s="165"/>
      <c r="I18" s="165"/>
      <c r="J18" s="165"/>
      <c r="K18" s="165"/>
      <c r="L18" s="165"/>
      <c r="M18" s="165"/>
      <c r="N18" s="165"/>
      <c r="O18" s="165"/>
      <c r="P18" s="165"/>
      <c r="Q18" s="165"/>
      <c r="R18" s="165"/>
      <c r="S18" s="165"/>
      <c r="T18" s="165"/>
      <c r="V18" s="268">
        <v>13</v>
      </c>
      <c r="W18" s="275">
        <v>0.2000064</v>
      </c>
      <c r="X18" s="275">
        <v>0.36447810000000003</v>
      </c>
      <c r="Y18" s="275">
        <v>3.5534799999999998E-2</v>
      </c>
      <c r="Z18" s="275">
        <v>-4.0892999999999997E-3</v>
      </c>
      <c r="AA18" s="275">
        <v>0.11429309999999999</v>
      </c>
      <c r="AB18" s="275">
        <v>-0.1224717</v>
      </c>
      <c r="AC18" s="268"/>
      <c r="AD18" s="268">
        <v>13</v>
      </c>
      <c r="AE18" s="275">
        <v>0.24165619999999999</v>
      </c>
      <c r="AF18" s="275">
        <v>0.44582529999999998</v>
      </c>
      <c r="AG18" s="275">
        <v>3.7487199999999998E-2</v>
      </c>
      <c r="AH18" s="275">
        <v>-0.15715229999999999</v>
      </c>
      <c r="AI18" s="275">
        <v>0.1225458</v>
      </c>
      <c r="AJ18" s="275">
        <v>-0.43685040000000003</v>
      </c>
      <c r="AK18" s="268"/>
      <c r="AL18" s="268">
        <v>13</v>
      </c>
      <c r="AM18" s="275">
        <v>9.4522800000000004E-2</v>
      </c>
      <c r="AN18" s="275">
        <v>0.17505580000000001</v>
      </c>
      <c r="AO18" s="275">
        <v>1.39899E-2</v>
      </c>
      <c r="AP18" s="275">
        <v>5.0418200000000003E-2</v>
      </c>
      <c r="AQ18" s="275">
        <v>8.0696100000000007E-2</v>
      </c>
      <c r="AR18" s="275">
        <v>2.01403E-2</v>
      </c>
      <c r="AS18" s="268"/>
      <c r="AT18" s="268">
        <v>13</v>
      </c>
      <c r="AU18" s="275">
        <v>0.1182588</v>
      </c>
      <c r="AV18" s="275">
        <v>0.21305470000000001</v>
      </c>
      <c r="AW18" s="275">
        <v>2.3462799999999999E-2</v>
      </c>
      <c r="AX18" s="275">
        <v>1.0528600000000001E-2</v>
      </c>
      <c r="AY18" s="275">
        <v>9.2399300000000004E-2</v>
      </c>
      <c r="AZ18" s="275">
        <v>-7.1342100000000006E-2</v>
      </c>
    </row>
    <row r="19" spans="2:52">
      <c r="B19" s="165"/>
      <c r="C19" s="165"/>
      <c r="D19" s="165"/>
      <c r="E19" s="165"/>
      <c r="F19" s="165"/>
      <c r="G19" s="165"/>
      <c r="H19" s="165"/>
      <c r="I19" s="165"/>
      <c r="J19" s="165"/>
      <c r="K19" s="165"/>
      <c r="L19" s="165"/>
      <c r="M19" s="165"/>
      <c r="N19" s="165"/>
      <c r="O19" s="165"/>
      <c r="P19" s="165"/>
      <c r="Q19" s="165"/>
      <c r="R19" s="165"/>
      <c r="S19" s="165"/>
      <c r="T19" s="165"/>
      <c r="V19" s="268">
        <v>14</v>
      </c>
      <c r="W19" s="275">
        <v>0.19721720000000001</v>
      </c>
      <c r="X19" s="275">
        <v>0.36059580000000002</v>
      </c>
      <c r="Y19" s="275">
        <v>3.3838600000000003E-2</v>
      </c>
      <c r="Z19" s="275">
        <v>-8.92622E-2</v>
      </c>
      <c r="AA19" s="275">
        <v>2.9544399999999998E-2</v>
      </c>
      <c r="AB19" s="275">
        <v>-0.2080688</v>
      </c>
      <c r="AC19" s="268"/>
      <c r="AD19" s="268">
        <v>14</v>
      </c>
      <c r="AE19" s="275">
        <v>0.14089769999999999</v>
      </c>
      <c r="AF19" s="275">
        <v>0.40155629999999998</v>
      </c>
      <c r="AG19" s="275">
        <v>-0.1197608</v>
      </c>
      <c r="AH19" s="275">
        <v>-0.20031779999999999</v>
      </c>
      <c r="AI19" s="275">
        <v>4.7097699999999999E-2</v>
      </c>
      <c r="AJ19" s="275">
        <v>-0.4477333</v>
      </c>
      <c r="AK19" s="268"/>
      <c r="AL19" s="268">
        <v>14</v>
      </c>
      <c r="AM19" s="275">
        <v>0.10996590000000001</v>
      </c>
      <c r="AN19" s="275">
        <v>0.19513649999999999</v>
      </c>
      <c r="AO19" s="275">
        <v>2.4795399999999999E-2</v>
      </c>
      <c r="AP19" s="275">
        <v>4.8403300000000003E-2</v>
      </c>
      <c r="AQ19" s="275">
        <v>7.9668799999999998E-2</v>
      </c>
      <c r="AR19" s="275">
        <v>1.7137800000000002E-2</v>
      </c>
      <c r="AS19" s="268"/>
      <c r="AT19" s="268">
        <v>14</v>
      </c>
      <c r="AU19" s="275">
        <v>0.1206618</v>
      </c>
      <c r="AV19" s="275">
        <v>0.23054520000000001</v>
      </c>
      <c r="AW19" s="275">
        <v>1.0778299999999999E-2</v>
      </c>
      <c r="AX19" s="275">
        <v>9.9857999999999995E-3</v>
      </c>
      <c r="AY19" s="275">
        <v>9.6988000000000005E-2</v>
      </c>
      <c r="AZ19" s="275">
        <v>-7.7016399999999999E-2</v>
      </c>
    </row>
    <row r="20" spans="2:52">
      <c r="B20" s="165"/>
      <c r="C20" s="165"/>
      <c r="D20" s="165"/>
      <c r="E20" s="165"/>
      <c r="F20" s="165"/>
      <c r="G20" s="165"/>
      <c r="H20" s="165"/>
      <c r="I20" s="165"/>
      <c r="J20" s="165"/>
      <c r="K20" s="165"/>
      <c r="L20" s="165"/>
      <c r="M20" s="165"/>
      <c r="N20" s="165"/>
      <c r="O20" s="165"/>
      <c r="P20" s="165"/>
      <c r="Q20" s="165"/>
      <c r="R20" s="165"/>
      <c r="S20" s="165"/>
      <c r="T20" s="165"/>
      <c r="V20" s="268">
        <v>15</v>
      </c>
      <c r="W20" s="275">
        <v>0.22178210000000001</v>
      </c>
      <c r="X20" s="275">
        <v>0.41676609999999997</v>
      </c>
      <c r="Y20" s="275">
        <v>2.6798099999999998E-2</v>
      </c>
      <c r="Z20" s="275">
        <v>-0.12559899999999999</v>
      </c>
      <c r="AA20" s="275">
        <v>-7.0530000000000002E-3</v>
      </c>
      <c r="AB20" s="275">
        <v>-0.2441451</v>
      </c>
      <c r="AC20" s="268"/>
      <c r="AD20" s="268">
        <v>15</v>
      </c>
      <c r="AE20" s="275">
        <v>0.13424900000000001</v>
      </c>
      <c r="AF20" s="275">
        <v>0.37351299999999998</v>
      </c>
      <c r="AG20" s="275">
        <v>-0.105015</v>
      </c>
      <c r="AH20" s="275">
        <v>-0.25578210000000001</v>
      </c>
      <c r="AI20" s="275">
        <v>-3.5680999999999998E-3</v>
      </c>
      <c r="AJ20" s="275">
        <v>-0.50799609999999995</v>
      </c>
      <c r="AK20" s="268"/>
      <c r="AL20" s="268">
        <v>15</v>
      </c>
      <c r="AM20" s="275">
        <v>0.1150027</v>
      </c>
      <c r="AN20" s="275">
        <v>0.197519</v>
      </c>
      <c r="AO20" s="275">
        <v>3.2486399999999999E-2</v>
      </c>
      <c r="AP20" s="275">
        <v>4.7120200000000001E-2</v>
      </c>
      <c r="AQ20" s="275">
        <v>8.1742300000000004E-2</v>
      </c>
      <c r="AR20" s="275">
        <v>1.2498199999999999E-2</v>
      </c>
      <c r="AS20" s="268"/>
      <c r="AT20" s="268">
        <v>15</v>
      </c>
      <c r="AU20" s="275">
        <v>0.123609</v>
      </c>
      <c r="AV20" s="275">
        <v>0.2508957</v>
      </c>
      <c r="AW20" s="275">
        <v>-3.6778000000000002E-3</v>
      </c>
      <c r="AX20" s="275">
        <v>7.2810000000000001E-3</v>
      </c>
      <c r="AY20" s="275">
        <v>0.1016459</v>
      </c>
      <c r="AZ20" s="275">
        <v>-8.7083900000000006E-2</v>
      </c>
    </row>
    <row r="21" spans="2:52">
      <c r="B21" s="165"/>
      <c r="C21" s="165"/>
      <c r="D21" s="165"/>
      <c r="E21" s="165"/>
      <c r="F21" s="165"/>
      <c r="G21" s="165"/>
      <c r="H21" s="165"/>
      <c r="I21" s="165"/>
      <c r="J21" s="165"/>
      <c r="K21" s="165"/>
      <c r="L21" s="165"/>
      <c r="M21" s="165"/>
      <c r="N21" s="165"/>
      <c r="O21" s="165"/>
      <c r="P21" s="165"/>
      <c r="Q21" s="165"/>
      <c r="R21" s="165"/>
      <c r="S21" s="165"/>
      <c r="T21" s="165"/>
      <c r="V21" s="268">
        <v>16</v>
      </c>
      <c r="W21" s="275">
        <v>0.24278089999999999</v>
      </c>
      <c r="X21" s="275">
        <v>0.45380219999999999</v>
      </c>
      <c r="Y21" s="275">
        <v>3.1759500000000003E-2</v>
      </c>
      <c r="Z21" s="275">
        <v>-0.15486510000000001</v>
      </c>
      <c r="AA21" s="275">
        <v>-1.61583E-2</v>
      </c>
      <c r="AB21" s="275">
        <v>-0.293572</v>
      </c>
      <c r="AC21" s="268"/>
      <c r="AD21" s="268">
        <v>16</v>
      </c>
      <c r="AE21" s="275">
        <v>0.1091625</v>
      </c>
      <c r="AF21" s="275">
        <v>0.34092040000000001</v>
      </c>
      <c r="AG21" s="275">
        <v>-0.12259539999999999</v>
      </c>
      <c r="AH21" s="275">
        <v>-0.27332200000000001</v>
      </c>
      <c r="AI21" s="275">
        <v>3.81962E-2</v>
      </c>
      <c r="AJ21" s="275">
        <v>-0.58484029999999998</v>
      </c>
      <c r="AK21" s="268"/>
      <c r="AL21" s="268">
        <v>16</v>
      </c>
      <c r="AM21" s="275">
        <v>0.1129192</v>
      </c>
      <c r="AN21" s="275">
        <v>0.18813840000000001</v>
      </c>
      <c r="AO21" s="275">
        <v>3.7699900000000001E-2</v>
      </c>
      <c r="AP21" s="275">
        <v>4.6807700000000001E-2</v>
      </c>
      <c r="AQ21" s="275">
        <v>8.3811399999999994E-2</v>
      </c>
      <c r="AR21" s="275">
        <v>9.8040999999999996E-3</v>
      </c>
      <c r="AS21" s="268"/>
      <c r="AT21" s="268">
        <v>16</v>
      </c>
      <c r="AU21" s="275">
        <v>0.11977980000000001</v>
      </c>
      <c r="AV21" s="275">
        <v>0.25863049999999999</v>
      </c>
      <c r="AW21" s="275">
        <v>-1.9070899999999998E-2</v>
      </c>
      <c r="AX21" s="275">
        <v>9.4284999999999994E-3</v>
      </c>
      <c r="AY21" s="275">
        <v>0.1100867</v>
      </c>
      <c r="AZ21" s="275">
        <v>-9.12298E-2</v>
      </c>
    </row>
    <row r="22" spans="2:52">
      <c r="B22" s="165"/>
      <c r="C22" s="165"/>
      <c r="D22" s="165"/>
      <c r="E22" s="165"/>
      <c r="F22" s="165"/>
      <c r="G22" s="165"/>
      <c r="H22" s="165"/>
      <c r="I22" s="165"/>
      <c r="J22" s="165"/>
      <c r="K22" s="165"/>
      <c r="L22" s="165"/>
      <c r="M22" s="165"/>
      <c r="N22" s="165"/>
      <c r="O22" s="165"/>
      <c r="P22" s="165"/>
      <c r="Q22" s="165"/>
      <c r="R22" s="165"/>
      <c r="S22" s="165"/>
      <c r="T22" s="165"/>
      <c r="V22" s="268">
        <v>17</v>
      </c>
      <c r="W22" s="275">
        <v>0.2247285</v>
      </c>
      <c r="X22" s="275">
        <v>0.40421940000000001</v>
      </c>
      <c r="Y22" s="275">
        <v>4.52375E-2</v>
      </c>
      <c r="Z22" s="275">
        <v>-0.1909428</v>
      </c>
      <c r="AA22" s="275">
        <v>-2.3665200000000001E-2</v>
      </c>
      <c r="AB22" s="275">
        <v>-0.35822029999999999</v>
      </c>
      <c r="AC22" s="268"/>
      <c r="AD22" s="268">
        <v>17</v>
      </c>
      <c r="AE22" s="275">
        <v>6.0807199999999999E-2</v>
      </c>
      <c r="AF22" s="275">
        <v>0.27548270000000002</v>
      </c>
      <c r="AG22" s="275">
        <v>-0.15386820000000001</v>
      </c>
      <c r="AH22" s="275">
        <v>-0.3001278</v>
      </c>
      <c r="AI22" s="275">
        <v>5.9950099999999999E-2</v>
      </c>
      <c r="AJ22" s="275">
        <v>-0.66020579999999995</v>
      </c>
      <c r="AK22" s="268"/>
      <c r="AL22" s="268">
        <v>17</v>
      </c>
      <c r="AM22" s="275">
        <v>0.1165648</v>
      </c>
      <c r="AN22" s="275">
        <v>0.1878408</v>
      </c>
      <c r="AO22" s="275">
        <v>4.5288799999999997E-2</v>
      </c>
      <c r="AP22" s="275">
        <v>4.9832799999999997E-2</v>
      </c>
      <c r="AQ22" s="275">
        <v>9.0822700000000006E-2</v>
      </c>
      <c r="AR22" s="275">
        <v>8.8429000000000008E-3</v>
      </c>
      <c r="AS22" s="268"/>
      <c r="AT22" s="268">
        <v>17</v>
      </c>
      <c r="AU22" s="275">
        <v>0.118047</v>
      </c>
      <c r="AV22" s="275">
        <v>0.26913379999999998</v>
      </c>
      <c r="AW22" s="275">
        <v>-3.3039800000000001E-2</v>
      </c>
      <c r="AX22" s="275">
        <v>1.5302E-2</v>
      </c>
      <c r="AY22" s="275">
        <v>0.1242359</v>
      </c>
      <c r="AZ22" s="275">
        <v>-9.3631900000000004E-2</v>
      </c>
    </row>
    <row r="23" spans="2:52">
      <c r="B23" s="165"/>
      <c r="C23" s="165"/>
      <c r="D23" s="165"/>
      <c r="E23" s="165"/>
      <c r="F23" s="165"/>
      <c r="G23" s="165"/>
      <c r="H23" s="165"/>
      <c r="I23" s="165"/>
      <c r="J23" s="165"/>
      <c r="K23" s="165"/>
      <c r="L23" s="165"/>
      <c r="M23" s="165"/>
      <c r="N23" s="165"/>
      <c r="O23" s="165"/>
      <c r="P23" s="165"/>
      <c r="Q23" s="165"/>
      <c r="R23" s="165"/>
      <c r="S23" s="165"/>
      <c r="T23" s="165"/>
      <c r="V23" s="268">
        <v>18</v>
      </c>
      <c r="W23" s="275">
        <v>0.26695390000000002</v>
      </c>
      <c r="X23" s="275">
        <v>0.44749480000000003</v>
      </c>
      <c r="Y23" s="275">
        <v>8.6413100000000007E-2</v>
      </c>
      <c r="Z23" s="275">
        <v>-0.20960380000000001</v>
      </c>
      <c r="AA23" s="275">
        <v>-5.2803099999999999E-2</v>
      </c>
      <c r="AB23" s="275">
        <v>-0.36640460000000002</v>
      </c>
      <c r="AC23" s="268"/>
      <c r="AD23" s="268">
        <v>18</v>
      </c>
      <c r="AE23" s="275">
        <v>2.3437900000000001E-2</v>
      </c>
      <c r="AF23" s="275">
        <v>0.28301290000000001</v>
      </c>
      <c r="AG23" s="275">
        <v>-0.23613719999999999</v>
      </c>
      <c r="AH23" s="275">
        <v>-0.29475430000000002</v>
      </c>
      <c r="AI23" s="275">
        <v>7.7324000000000004E-2</v>
      </c>
      <c r="AJ23" s="275">
        <v>-0.6668326</v>
      </c>
      <c r="AK23" s="268"/>
      <c r="AL23" s="268">
        <v>18</v>
      </c>
      <c r="AM23" s="275">
        <v>0.1245662</v>
      </c>
      <c r="AN23" s="275">
        <v>0.19861190000000001</v>
      </c>
      <c r="AO23" s="275">
        <v>5.0520500000000003E-2</v>
      </c>
      <c r="AP23" s="275">
        <v>4.9995299999999999E-2</v>
      </c>
      <c r="AQ23" s="275">
        <v>9.6464499999999995E-2</v>
      </c>
      <c r="AR23" s="275">
        <v>3.5260999999999999E-3</v>
      </c>
      <c r="AS23" s="268"/>
      <c r="AT23" s="268">
        <v>18</v>
      </c>
      <c r="AU23" s="275">
        <v>0.1106607</v>
      </c>
      <c r="AV23" s="275">
        <v>0.27201229999999998</v>
      </c>
      <c r="AW23" s="275">
        <v>-5.0690899999999997E-2</v>
      </c>
      <c r="AX23" s="275">
        <v>2.4473100000000001E-2</v>
      </c>
      <c r="AY23" s="275">
        <v>0.14234920000000001</v>
      </c>
      <c r="AZ23" s="275">
        <v>-9.3403E-2</v>
      </c>
    </row>
    <row r="24" spans="2:52">
      <c r="B24" s="165"/>
      <c r="C24" s="165"/>
      <c r="D24" s="165"/>
      <c r="E24" s="165"/>
      <c r="F24" s="165"/>
      <c r="G24" s="165"/>
      <c r="H24" s="165"/>
      <c r="I24" s="165"/>
      <c r="J24" s="165"/>
      <c r="K24" s="165"/>
      <c r="L24" s="165"/>
      <c r="M24" s="165"/>
      <c r="N24" s="165"/>
      <c r="O24" s="165"/>
      <c r="P24" s="165"/>
      <c r="Q24" s="165"/>
      <c r="R24" s="165"/>
      <c r="S24" s="165"/>
      <c r="T24" s="165"/>
      <c r="V24" s="268">
        <v>19</v>
      </c>
      <c r="W24" s="275">
        <v>0.27421909999999999</v>
      </c>
      <c r="X24" s="275">
        <v>0.48033120000000001</v>
      </c>
      <c r="Y24" s="275">
        <v>6.8106899999999998E-2</v>
      </c>
      <c r="Z24" s="275">
        <v>-0.1745988</v>
      </c>
      <c r="AA24" s="275">
        <v>-2.4913999999999999E-2</v>
      </c>
      <c r="AB24" s="275">
        <v>-0.32428370000000001</v>
      </c>
      <c r="AC24" s="268"/>
      <c r="AD24" s="268">
        <v>19</v>
      </c>
      <c r="AE24" s="275">
        <v>2.1568299999999999E-2</v>
      </c>
      <c r="AF24" s="275">
        <v>0.26998119999999998</v>
      </c>
      <c r="AG24" s="275">
        <v>-0.22684460000000001</v>
      </c>
      <c r="AH24" s="275">
        <v>-0.22792290000000001</v>
      </c>
      <c r="AI24" s="275">
        <v>7.1032300000000007E-2</v>
      </c>
      <c r="AJ24" s="275">
        <v>-0.52687810000000002</v>
      </c>
      <c r="AK24" s="268"/>
      <c r="AL24" s="268">
        <v>19</v>
      </c>
      <c r="AM24" s="275">
        <v>0.12805510000000001</v>
      </c>
      <c r="AN24" s="275">
        <v>0.20246220000000001</v>
      </c>
      <c r="AO24" s="275">
        <v>5.3648000000000001E-2</v>
      </c>
      <c r="AP24" s="275">
        <v>4.80048E-2</v>
      </c>
      <c r="AQ24" s="275">
        <v>9.4578800000000005E-2</v>
      </c>
      <c r="AR24" s="275">
        <v>1.4307E-3</v>
      </c>
      <c r="AS24" s="268"/>
      <c r="AT24" s="268">
        <v>19</v>
      </c>
      <c r="AU24" s="275">
        <v>9.9594299999999997E-2</v>
      </c>
      <c r="AV24" s="275">
        <v>0.26480700000000001</v>
      </c>
      <c r="AW24" s="275">
        <v>-6.5618399999999993E-2</v>
      </c>
      <c r="AX24" s="275">
        <v>3.1454799999999998E-2</v>
      </c>
      <c r="AY24" s="275">
        <v>0.1530802</v>
      </c>
      <c r="AZ24" s="275">
        <v>-9.0170700000000006E-2</v>
      </c>
    </row>
    <row r="25" spans="2:52">
      <c r="B25" s="165"/>
      <c r="C25" s="165"/>
      <c r="D25" s="165"/>
      <c r="E25" s="165"/>
      <c r="F25" s="165"/>
      <c r="G25" s="165"/>
      <c r="H25" s="165"/>
      <c r="I25" s="165"/>
      <c r="J25" s="165"/>
      <c r="K25" s="165"/>
      <c r="L25" s="165"/>
      <c r="M25" s="165"/>
      <c r="N25" s="165"/>
      <c r="O25" s="165"/>
      <c r="P25" s="165"/>
      <c r="Q25" s="165"/>
      <c r="R25" s="165"/>
      <c r="S25" s="165"/>
      <c r="T25" s="165"/>
      <c r="V25" s="268">
        <v>20</v>
      </c>
      <c r="W25" s="275">
        <v>0.31234410000000001</v>
      </c>
      <c r="X25" s="275">
        <v>0.55180870000000004</v>
      </c>
      <c r="Y25" s="275">
        <v>7.28795E-2</v>
      </c>
      <c r="Z25" s="275">
        <v>-0.10062210000000001</v>
      </c>
      <c r="AA25" s="275">
        <v>3.3856499999999998E-2</v>
      </c>
      <c r="AB25" s="275">
        <v>-0.2351007</v>
      </c>
      <c r="AC25" s="268"/>
      <c r="AD25" s="268">
        <v>20</v>
      </c>
      <c r="AE25" s="275">
        <v>7.7305299999999993E-2</v>
      </c>
      <c r="AF25" s="275">
        <v>0.3253047</v>
      </c>
      <c r="AG25" s="275">
        <v>-0.17069409999999999</v>
      </c>
      <c r="AH25" s="275">
        <v>-0.14141000000000001</v>
      </c>
      <c r="AI25" s="275">
        <v>7.3053900000000005E-2</v>
      </c>
      <c r="AJ25" s="275">
        <v>-0.35587390000000002</v>
      </c>
      <c r="AK25" s="268"/>
      <c r="AL25" s="268">
        <v>20</v>
      </c>
      <c r="AM25" s="275">
        <v>0.11658159999999999</v>
      </c>
      <c r="AN25" s="275">
        <v>0.18786929999999999</v>
      </c>
      <c r="AO25" s="275">
        <v>4.5294000000000001E-2</v>
      </c>
      <c r="AP25" s="275">
        <v>4.6725099999999999E-2</v>
      </c>
      <c r="AQ25" s="275">
        <v>9.3830800000000006E-2</v>
      </c>
      <c r="AR25" s="275">
        <v>-3.8059999999999998E-4</v>
      </c>
      <c r="AS25" s="268"/>
      <c r="AT25" s="268">
        <v>20</v>
      </c>
      <c r="AU25" s="275">
        <v>9.25729E-2</v>
      </c>
      <c r="AV25" s="275">
        <v>0.26448939999999999</v>
      </c>
      <c r="AW25" s="275">
        <v>-7.93436E-2</v>
      </c>
      <c r="AX25" s="275">
        <v>2.9696400000000001E-2</v>
      </c>
      <c r="AY25" s="275">
        <v>0.15914449999999999</v>
      </c>
      <c r="AZ25" s="275">
        <v>-9.9751800000000002E-2</v>
      </c>
    </row>
    <row r="26" spans="2:52">
      <c r="B26" s="165"/>
      <c r="C26" s="165"/>
      <c r="D26" s="165"/>
      <c r="E26" s="165"/>
      <c r="F26" s="165"/>
      <c r="G26" s="165"/>
      <c r="H26" s="165"/>
      <c r="I26" s="165"/>
      <c r="J26" s="165"/>
      <c r="K26" s="165"/>
      <c r="L26" s="165"/>
      <c r="M26" s="165"/>
      <c r="N26" s="165"/>
      <c r="O26" s="165"/>
      <c r="P26" s="165"/>
      <c r="Q26" s="165"/>
      <c r="R26" s="165"/>
      <c r="S26" s="165"/>
      <c r="T26" s="165"/>
      <c r="V26" s="268">
        <v>21</v>
      </c>
      <c r="W26" s="275">
        <v>0.28310669999999999</v>
      </c>
      <c r="X26" s="275">
        <v>0.46675460000000002</v>
      </c>
      <c r="Y26" s="275">
        <v>9.9458900000000003E-2</v>
      </c>
      <c r="Z26" s="275">
        <v>-0.1069903</v>
      </c>
      <c r="AA26" s="275">
        <v>1.11559E-2</v>
      </c>
      <c r="AB26" s="275">
        <v>-0.22513649999999999</v>
      </c>
      <c r="AC26" s="268"/>
      <c r="AD26" s="268">
        <v>21</v>
      </c>
      <c r="AE26" s="275">
        <v>9.6413600000000002E-2</v>
      </c>
      <c r="AF26" s="275">
        <v>0.31425750000000002</v>
      </c>
      <c r="AG26" s="275">
        <v>-0.1214302</v>
      </c>
      <c r="AH26" s="275">
        <v>-0.1942255</v>
      </c>
      <c r="AI26" s="275">
        <v>4.2293900000000002E-2</v>
      </c>
      <c r="AJ26" s="275">
        <v>-0.43074499999999999</v>
      </c>
      <c r="AK26" s="268"/>
      <c r="AL26" s="268">
        <v>21</v>
      </c>
      <c r="AM26" s="275">
        <v>0.1127726</v>
      </c>
      <c r="AN26" s="275">
        <v>0.17626910000000001</v>
      </c>
      <c r="AO26" s="275">
        <v>4.9276100000000003E-2</v>
      </c>
      <c r="AP26" s="275">
        <v>4.8295600000000001E-2</v>
      </c>
      <c r="AQ26" s="275">
        <v>9.8041199999999995E-2</v>
      </c>
      <c r="AR26" s="275">
        <v>-1.4499000000000001E-3</v>
      </c>
      <c r="AS26" s="268"/>
      <c r="AT26" s="268">
        <v>21</v>
      </c>
      <c r="AU26" s="275">
        <v>7.3314099999999993E-2</v>
      </c>
      <c r="AV26" s="275">
        <v>0.24985889999999999</v>
      </c>
      <c r="AW26" s="275">
        <v>-0.10323069999999999</v>
      </c>
      <c r="AX26" s="275">
        <v>4.6567900000000002E-2</v>
      </c>
      <c r="AY26" s="275">
        <v>0.1854413</v>
      </c>
      <c r="AZ26" s="275">
        <v>-9.2305600000000002E-2</v>
      </c>
    </row>
    <row r="27" spans="2:52">
      <c r="B27" s="165"/>
      <c r="C27" s="165"/>
      <c r="D27" s="165"/>
      <c r="E27" s="165"/>
      <c r="F27" s="165"/>
      <c r="G27" s="165"/>
      <c r="H27" s="165"/>
      <c r="I27" s="165"/>
      <c r="J27" s="165"/>
      <c r="K27" s="165"/>
      <c r="L27" s="165"/>
      <c r="M27" s="165"/>
      <c r="N27" s="165"/>
      <c r="O27" s="165"/>
      <c r="P27" s="165"/>
      <c r="Q27" s="165"/>
      <c r="R27" s="165"/>
      <c r="S27" s="165"/>
      <c r="T27" s="165"/>
    </row>
    <row r="28" spans="2:52">
      <c r="B28" s="165"/>
      <c r="C28" s="165"/>
      <c r="D28" s="165"/>
      <c r="E28" s="165"/>
      <c r="F28" s="165"/>
      <c r="G28" s="165"/>
      <c r="H28" s="165"/>
      <c r="I28" s="165"/>
      <c r="J28" s="165"/>
      <c r="K28" s="165"/>
      <c r="L28" s="165"/>
      <c r="M28" s="165"/>
      <c r="N28" s="165"/>
      <c r="O28" s="165"/>
      <c r="P28" s="165"/>
      <c r="Q28" s="165"/>
      <c r="R28" s="165"/>
      <c r="S28" s="165"/>
      <c r="T28" s="165"/>
    </row>
    <row r="29" spans="2:52">
      <c r="B29" s="165"/>
      <c r="C29" s="165"/>
      <c r="D29" s="165"/>
      <c r="E29" s="165"/>
      <c r="F29" s="165"/>
      <c r="G29" s="165"/>
      <c r="H29" s="165"/>
      <c r="I29" s="165"/>
      <c r="J29" s="165"/>
      <c r="K29" s="165"/>
      <c r="L29" s="165"/>
      <c r="M29" s="165"/>
      <c r="N29" s="165"/>
      <c r="O29" s="165"/>
      <c r="P29" s="165"/>
      <c r="Q29" s="165"/>
      <c r="R29" s="165"/>
      <c r="S29" s="165"/>
      <c r="T29" s="165"/>
    </row>
    <row r="30" spans="2:52">
      <c r="B30" s="165"/>
      <c r="C30" s="165" t="s">
        <v>620</v>
      </c>
      <c r="D30" s="165"/>
      <c r="E30" s="165"/>
      <c r="F30" s="165"/>
      <c r="G30" s="165"/>
      <c r="H30" s="165"/>
      <c r="I30" s="165"/>
      <c r="J30" s="165"/>
      <c r="K30" s="165"/>
      <c r="L30" s="165"/>
      <c r="M30" s="165"/>
      <c r="N30" s="165"/>
      <c r="O30" s="165"/>
      <c r="P30" s="165"/>
      <c r="Q30" s="165"/>
      <c r="R30" s="165"/>
      <c r="S30" s="165"/>
      <c r="T30" s="165"/>
    </row>
    <row r="31" spans="2:52">
      <c r="B31" s="165"/>
      <c r="C31" s="165" t="s">
        <v>621</v>
      </c>
      <c r="D31" s="165"/>
      <c r="E31" s="165"/>
      <c r="F31" s="165"/>
      <c r="G31" s="165"/>
      <c r="H31" s="165"/>
      <c r="I31" s="165"/>
      <c r="J31" s="165"/>
      <c r="K31" s="165"/>
      <c r="L31" s="165"/>
      <c r="M31" s="165"/>
      <c r="N31" s="165"/>
      <c r="O31" s="165"/>
      <c r="P31" s="165"/>
      <c r="Q31" s="165"/>
      <c r="R31" s="165"/>
      <c r="S31" s="165"/>
      <c r="T31" s="165"/>
    </row>
    <row r="32" spans="2:52">
      <c r="B32" s="165"/>
      <c r="C32" s="165"/>
      <c r="D32" s="165"/>
      <c r="E32" s="165"/>
      <c r="F32" s="165"/>
      <c r="G32" s="165"/>
      <c r="H32" s="165"/>
      <c r="I32" s="165"/>
      <c r="J32" s="165"/>
      <c r="K32" s="165"/>
      <c r="L32" s="165"/>
      <c r="M32" s="165"/>
      <c r="N32" s="165"/>
      <c r="O32" s="165"/>
      <c r="P32" s="165"/>
      <c r="Q32" s="165"/>
      <c r="R32" s="165"/>
      <c r="S32" s="165"/>
      <c r="T32" s="165"/>
    </row>
  </sheetData>
  <mergeCells count="4">
    <mergeCell ref="V3:AB3"/>
    <mergeCell ref="AD3:AJ3"/>
    <mergeCell ref="AL3:AR3"/>
    <mergeCell ref="AT3:AZ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5B8E-4CF1-48C9-A0DB-916363A073AE}">
  <dimension ref="B1:Z293"/>
  <sheetViews>
    <sheetView zoomScaleNormal="100" workbookViewId="0">
      <selection activeCell="B88" sqref="B88:K88"/>
    </sheetView>
  </sheetViews>
  <sheetFormatPr defaultColWidth="8.7109375" defaultRowHeight="15"/>
  <cols>
    <col min="1" max="22" width="8.7109375" style="312"/>
    <col min="23" max="23" width="17.28515625" style="312" customWidth="1"/>
    <col min="24" max="24" width="8.7109375" style="312"/>
    <col min="25" max="25" width="15.28515625" style="312" customWidth="1"/>
    <col min="26" max="16384" width="8.7109375" style="312"/>
  </cols>
  <sheetData>
    <row r="1" spans="2:26">
      <c r="B1" s="252" t="s">
        <v>622</v>
      </c>
    </row>
    <row r="2" spans="2:26">
      <c r="B2" s="253" t="s">
        <v>225</v>
      </c>
    </row>
    <row r="4" spans="2:26" s="320" customFormat="1" ht="90">
      <c r="O4" s="321"/>
      <c r="P4" s="321"/>
      <c r="Q4" s="321"/>
      <c r="R4" s="321"/>
      <c r="S4" s="321"/>
      <c r="T4" s="321"/>
      <c r="U4" s="321"/>
      <c r="V4" s="321"/>
      <c r="W4" s="321" t="s">
        <v>623</v>
      </c>
      <c r="X4" s="321"/>
      <c r="Y4" s="321" t="s">
        <v>624</v>
      </c>
      <c r="Z4" s="321"/>
    </row>
    <row r="5" spans="2:26" ht="66">
      <c r="O5" s="322"/>
      <c r="P5" s="322" t="s">
        <v>325</v>
      </c>
      <c r="Q5" s="323" t="s">
        <v>625</v>
      </c>
      <c r="R5" s="324" t="s">
        <v>626</v>
      </c>
      <c r="S5" s="324" t="s">
        <v>627</v>
      </c>
      <c r="T5" s="324" t="s">
        <v>628</v>
      </c>
      <c r="U5" s="324"/>
      <c r="V5" s="324"/>
      <c r="W5" s="324" t="s">
        <v>629</v>
      </c>
      <c r="X5" s="324" t="s">
        <v>630</v>
      </c>
      <c r="Y5" s="324" t="s">
        <v>624</v>
      </c>
      <c r="Z5" s="324" t="s">
        <v>629</v>
      </c>
    </row>
    <row r="6" spans="2:26">
      <c r="O6" s="322"/>
      <c r="P6" s="322">
        <v>1998</v>
      </c>
      <c r="Q6" s="322">
        <v>0</v>
      </c>
      <c r="R6" s="322">
        <v>0</v>
      </c>
      <c r="S6" s="322">
        <v>0</v>
      </c>
      <c r="T6" s="322">
        <v>0</v>
      </c>
      <c r="U6" s="322"/>
      <c r="V6" s="325">
        <f t="shared" ref="V6:V69" si="0">(X6/6+1)/2</f>
        <v>0.5</v>
      </c>
      <c r="W6" s="325">
        <v>0</v>
      </c>
      <c r="X6" s="325">
        <v>0</v>
      </c>
      <c r="Y6" s="325">
        <v>0</v>
      </c>
      <c r="Z6" s="325">
        <f t="shared" ref="Z6:Z69" si="1">Y6*100</f>
        <v>0</v>
      </c>
    </row>
    <row r="7" spans="2:26">
      <c r="O7" s="322"/>
      <c r="P7" s="322"/>
      <c r="Q7" s="325">
        <v>-5.6664300000000001E-2</v>
      </c>
      <c r="R7" s="325">
        <v>-3.1171299999999999E-2</v>
      </c>
      <c r="S7" s="325">
        <v>-1.8669399999999999E-2</v>
      </c>
      <c r="T7" s="325">
        <v>0.10651099999999999</v>
      </c>
      <c r="U7" s="322"/>
      <c r="V7" s="325">
        <f t="shared" si="0"/>
        <v>0.5</v>
      </c>
      <c r="W7" s="325">
        <v>-0.21755804999999961</v>
      </c>
      <c r="X7" s="325">
        <v>0</v>
      </c>
      <c r="Y7" s="325">
        <v>-2.8395205000001367E-3</v>
      </c>
      <c r="Z7" s="325">
        <f t="shared" si="1"/>
        <v>-0.28395205000001367</v>
      </c>
    </row>
    <row r="8" spans="2:26">
      <c r="O8" s="322"/>
      <c r="P8" s="322"/>
      <c r="Q8" s="325">
        <v>-0.10140639999999999</v>
      </c>
      <c r="R8" s="325">
        <v>-7.6157699999999995E-2</v>
      </c>
      <c r="S8" s="325">
        <v>-4.2379399999999998E-2</v>
      </c>
      <c r="T8" s="325">
        <v>0.21994349999999999</v>
      </c>
      <c r="U8" s="322"/>
      <c r="V8" s="325">
        <f t="shared" si="0"/>
        <v>0.5</v>
      </c>
      <c r="W8" s="325">
        <v>-0.41774809999998164</v>
      </c>
      <c r="X8" s="325">
        <v>0</v>
      </c>
      <c r="Y8" s="325">
        <v>-5.3282209999999663E-3</v>
      </c>
      <c r="Z8" s="325">
        <f t="shared" si="1"/>
        <v>-0.53282209999999663</v>
      </c>
    </row>
    <row r="9" spans="2:26">
      <c r="O9" s="322"/>
      <c r="P9" s="322"/>
      <c r="Q9" s="325">
        <v>-7.4342800000000001E-2</v>
      </c>
      <c r="R9" s="325">
        <v>-6.0285999999999999E-2</v>
      </c>
      <c r="S9" s="325">
        <v>-5.1680499999999997E-2</v>
      </c>
      <c r="T9" s="325">
        <v>0.18628549999999999</v>
      </c>
      <c r="U9" s="322"/>
      <c r="V9" s="325">
        <f t="shared" si="0"/>
        <v>0.5</v>
      </c>
      <c r="W9" s="325">
        <v>-0.39920119999996562</v>
      </c>
      <c r="X9" s="325">
        <v>0</v>
      </c>
      <c r="Y9" s="325">
        <v>-5.1671319999997412E-3</v>
      </c>
      <c r="Z9" s="325">
        <f t="shared" si="1"/>
        <v>-0.51671319999997412</v>
      </c>
    </row>
    <row r="10" spans="2:26">
      <c r="O10" s="322"/>
      <c r="P10" s="322"/>
      <c r="Q10" s="325">
        <v>-3.9871999999999998E-3</v>
      </c>
      <c r="R10" s="325">
        <v>-4.8177999999999997E-3</v>
      </c>
      <c r="S10" s="325">
        <v>-4.8724099999999999E-2</v>
      </c>
      <c r="T10" s="325">
        <v>5.7505399999999998E-2</v>
      </c>
      <c r="U10" s="322"/>
      <c r="V10" s="325">
        <f t="shared" si="0"/>
        <v>0.5</v>
      </c>
      <c r="W10" s="325">
        <v>-0.11593100000000245</v>
      </c>
      <c r="X10" s="325">
        <v>0</v>
      </c>
      <c r="Y10" s="325">
        <v>-1.6792699999998995E-3</v>
      </c>
      <c r="Z10" s="325">
        <f t="shared" si="1"/>
        <v>-0.16792699999998995</v>
      </c>
    </row>
    <row r="11" spans="2:26">
      <c r="O11" s="322"/>
      <c r="P11" s="322"/>
      <c r="Q11" s="325">
        <v>6.8396899999999997E-2</v>
      </c>
      <c r="R11" s="325">
        <v>2.9565500000000002E-2</v>
      </c>
      <c r="S11" s="325">
        <v>-6.2025900000000002E-2</v>
      </c>
      <c r="T11" s="325">
        <v>-3.5948399999999998E-2</v>
      </c>
      <c r="U11" s="322"/>
      <c r="V11" s="325">
        <f t="shared" si="0"/>
        <v>0.5</v>
      </c>
      <c r="W11" s="325">
        <v>2.0582000000035627E-2</v>
      </c>
      <c r="X11" s="325">
        <v>0</v>
      </c>
      <c r="Y11" s="325">
        <v>-2.8177999999967618E-4</v>
      </c>
      <c r="Z11" s="325">
        <f t="shared" si="1"/>
        <v>-2.8177999999967618E-2</v>
      </c>
    </row>
    <row r="12" spans="2:26">
      <c r="O12" s="322"/>
      <c r="P12" s="322"/>
      <c r="Q12" s="325">
        <v>8.4451499999999999E-2</v>
      </c>
      <c r="R12" s="325">
        <v>3.5069400000000001E-2</v>
      </c>
      <c r="S12" s="325">
        <v>-7.0150699999999996E-2</v>
      </c>
      <c r="T12" s="325">
        <v>-4.9346399999999999E-2</v>
      </c>
      <c r="U12" s="322"/>
      <c r="V12" s="325">
        <f t="shared" si="0"/>
        <v>0.5</v>
      </c>
      <c r="W12" s="325">
        <v>-4.1446500000019704E-2</v>
      </c>
      <c r="X12" s="325">
        <v>0</v>
      </c>
      <c r="Y12" s="325">
        <v>-1.4405850000003273E-3</v>
      </c>
      <c r="Z12" s="325">
        <f t="shared" si="1"/>
        <v>-0.14405850000003273</v>
      </c>
    </row>
    <row r="13" spans="2:26">
      <c r="O13" s="322"/>
      <c r="P13" s="322"/>
      <c r="Q13" s="325">
        <v>0.1190618</v>
      </c>
      <c r="R13" s="325">
        <v>2.1110999999999999E-3</v>
      </c>
      <c r="S13" s="325">
        <v>-0.1124083</v>
      </c>
      <c r="T13" s="325">
        <v>-8.7881999999999995E-3</v>
      </c>
      <c r="U13" s="322"/>
      <c r="V13" s="325">
        <f t="shared" si="0"/>
        <v>0.5</v>
      </c>
      <c r="W13" s="325">
        <v>-0.21611950000002267</v>
      </c>
      <c r="X13" s="325">
        <v>0</v>
      </c>
      <c r="Y13" s="325">
        <v>-4.1366549999999336E-3</v>
      </c>
      <c r="Z13" s="325">
        <f t="shared" si="1"/>
        <v>-0.41366549999999336</v>
      </c>
    </row>
    <row r="14" spans="2:26">
      <c r="O14" s="322"/>
      <c r="P14" s="322"/>
      <c r="Q14" s="325">
        <v>0.18840199999999999</v>
      </c>
      <c r="R14" s="325">
        <v>-2.51416E-2</v>
      </c>
      <c r="S14" s="325">
        <v>-0.14967610000000001</v>
      </c>
      <c r="T14" s="325">
        <v>-1.35961E-2</v>
      </c>
      <c r="U14" s="322"/>
      <c r="V14" s="325">
        <f t="shared" si="0"/>
        <v>0.5</v>
      </c>
      <c r="W14" s="325">
        <v>-0.28805250000001337</v>
      </c>
      <c r="X14" s="325">
        <v>0</v>
      </c>
      <c r="Y14" s="325">
        <v>-5.1002250000000693E-3</v>
      </c>
      <c r="Z14" s="325">
        <f t="shared" si="1"/>
        <v>-0.51002250000000693</v>
      </c>
    </row>
    <row r="15" spans="2:26">
      <c r="O15" s="322"/>
      <c r="P15" s="322"/>
      <c r="Q15" s="325">
        <v>0.1694088</v>
      </c>
      <c r="R15" s="325">
        <v>-2.9104399999999999E-2</v>
      </c>
      <c r="S15" s="325">
        <v>-0.1423867</v>
      </c>
      <c r="T15" s="325">
        <v>2.1059E-3</v>
      </c>
      <c r="U15" s="322"/>
      <c r="V15" s="325">
        <f t="shared" si="0"/>
        <v>0.5</v>
      </c>
      <c r="W15" s="325">
        <v>-0.29663799999999352</v>
      </c>
      <c r="X15" s="325">
        <v>0</v>
      </c>
      <c r="Y15" s="325">
        <v>-5.0163999999999209E-3</v>
      </c>
      <c r="Z15" s="325">
        <f t="shared" si="1"/>
        <v>-0.50163999999999209</v>
      </c>
    </row>
    <row r="16" spans="2:26">
      <c r="O16" s="322"/>
      <c r="P16" s="322"/>
      <c r="Q16" s="325">
        <v>0.1448662</v>
      </c>
      <c r="R16" s="325">
        <v>-2.70928E-2</v>
      </c>
      <c r="S16" s="325">
        <v>-0.13193550000000001</v>
      </c>
      <c r="T16" s="325">
        <v>1.4150299999999999E-2</v>
      </c>
      <c r="U16" s="322"/>
      <c r="V16" s="325">
        <f t="shared" si="0"/>
        <v>0.5</v>
      </c>
      <c r="W16" s="325">
        <v>-0.33341950000000953</v>
      </c>
      <c r="X16" s="325">
        <v>0</v>
      </c>
      <c r="Y16" s="325">
        <v>-5.9744550000000451E-3</v>
      </c>
      <c r="Z16" s="325">
        <f t="shared" si="1"/>
        <v>-0.59744550000000451</v>
      </c>
    </row>
    <row r="17" spans="15:26">
      <c r="O17" s="322"/>
      <c r="P17" s="322"/>
      <c r="Q17" s="325">
        <v>0.2405764</v>
      </c>
      <c r="R17" s="325">
        <v>2.4643499999999999E-2</v>
      </c>
      <c r="S17" s="325">
        <v>-0.1463429</v>
      </c>
      <c r="T17" s="325">
        <v>-0.11885320000000001</v>
      </c>
      <c r="U17" s="322"/>
      <c r="V17" s="325">
        <f t="shared" si="0"/>
        <v>0.5</v>
      </c>
      <c r="W17" s="325">
        <v>-0.14287750000001598</v>
      </c>
      <c r="X17" s="325">
        <v>0</v>
      </c>
      <c r="Y17" s="325">
        <v>-4.6038150000000666E-3</v>
      </c>
      <c r="Z17" s="325">
        <f t="shared" si="1"/>
        <v>-0.46038150000000666</v>
      </c>
    </row>
    <row r="18" spans="15:26">
      <c r="O18" s="322"/>
      <c r="P18" s="322">
        <v>1999</v>
      </c>
      <c r="Q18" s="325">
        <v>0.31640620000000003</v>
      </c>
      <c r="R18" s="325">
        <v>3.9942900000000003E-2</v>
      </c>
      <c r="S18" s="325">
        <v>-0.16812959999999999</v>
      </c>
      <c r="T18" s="325">
        <v>-0.1881958</v>
      </c>
      <c r="U18" s="322"/>
      <c r="V18" s="325">
        <f t="shared" si="0"/>
        <v>0.5</v>
      </c>
      <c r="W18" s="325">
        <v>-7.4280500000001304E-2</v>
      </c>
      <c r="X18" s="325">
        <v>0</v>
      </c>
      <c r="Y18" s="325">
        <v>-3.8267049999998193E-3</v>
      </c>
      <c r="Z18" s="325">
        <f t="shared" si="1"/>
        <v>-0.38267049999998193</v>
      </c>
    </row>
    <row r="19" spans="15:26">
      <c r="O19" s="322"/>
      <c r="P19" s="322"/>
      <c r="Q19" s="325">
        <v>0.30531449999999999</v>
      </c>
      <c r="R19" s="325">
        <v>1.08711E-2</v>
      </c>
      <c r="S19" s="325">
        <v>-0.19515879999999999</v>
      </c>
      <c r="T19" s="325">
        <v>-0.12102690000000001</v>
      </c>
      <c r="U19" s="322"/>
      <c r="V19" s="325">
        <f t="shared" si="0"/>
        <v>0.5</v>
      </c>
      <c r="W19" s="325">
        <v>-0.24642249999999866</v>
      </c>
      <c r="X19" s="325">
        <v>0</v>
      </c>
      <c r="Y19" s="325">
        <v>-6.2834050000000197E-3</v>
      </c>
      <c r="Z19" s="325">
        <f t="shared" si="1"/>
        <v>-0.62834050000000197</v>
      </c>
    </row>
    <row r="20" spans="15:26">
      <c r="O20" s="322"/>
      <c r="P20" s="322"/>
      <c r="Q20" s="325">
        <v>0.24558189999999999</v>
      </c>
      <c r="R20" s="325">
        <v>-1.1027E-2</v>
      </c>
      <c r="S20" s="325">
        <v>-0.19593659999999999</v>
      </c>
      <c r="T20" s="325">
        <v>-3.8630100000000001E-2</v>
      </c>
      <c r="U20" s="322"/>
      <c r="V20" s="325">
        <f t="shared" si="0"/>
        <v>0.5</v>
      </c>
      <c r="W20" s="325">
        <v>-0.34730850000002089</v>
      </c>
      <c r="X20" s="325">
        <v>0</v>
      </c>
      <c r="Y20" s="325">
        <v>-7.7079450000001604E-3</v>
      </c>
      <c r="Z20" s="325">
        <f t="shared" si="1"/>
        <v>-0.77079450000001604</v>
      </c>
    </row>
    <row r="21" spans="15:26">
      <c r="O21" s="322"/>
      <c r="P21" s="322"/>
      <c r="Q21" s="325">
        <v>0.22439190000000001</v>
      </c>
      <c r="R21" s="325">
        <v>4.6725999999999997E-2</v>
      </c>
      <c r="S21" s="325">
        <v>-0.13975789999999999</v>
      </c>
      <c r="T21" s="325">
        <v>-0.1313715</v>
      </c>
      <c r="U21" s="322"/>
      <c r="V21" s="325">
        <f t="shared" si="0"/>
        <v>0.5</v>
      </c>
      <c r="W21" s="325">
        <v>4.1474999999957518E-3</v>
      </c>
      <c r="X21" s="325">
        <v>0</v>
      </c>
      <c r="Y21" s="325">
        <v>-2.7449850000000886E-3</v>
      </c>
      <c r="Z21" s="325">
        <f t="shared" si="1"/>
        <v>-0.27449850000000886</v>
      </c>
    </row>
    <row r="22" spans="15:26">
      <c r="O22" s="322"/>
      <c r="P22" s="322"/>
      <c r="Q22" s="325">
        <v>0.29631439999999998</v>
      </c>
      <c r="R22" s="325">
        <v>7.7430899999999997E-2</v>
      </c>
      <c r="S22" s="325">
        <v>-0.16654250000000001</v>
      </c>
      <c r="T22" s="325">
        <v>-0.20719119999999999</v>
      </c>
      <c r="U22" s="322"/>
      <c r="V22" s="325">
        <f t="shared" si="0"/>
        <v>0.5</v>
      </c>
      <c r="W22" s="325">
        <v>0.10518300000001979</v>
      </c>
      <c r="X22" s="325">
        <v>0</v>
      </c>
      <c r="Y22" s="325">
        <v>-1.7835299999997556E-3</v>
      </c>
      <c r="Z22" s="325">
        <f t="shared" si="1"/>
        <v>-0.17835299999997556</v>
      </c>
    </row>
    <row r="23" spans="15:26">
      <c r="O23" s="322"/>
      <c r="P23" s="322"/>
      <c r="Q23" s="325">
        <v>0.41070180000000001</v>
      </c>
      <c r="R23" s="325">
        <v>0.1207457</v>
      </c>
      <c r="S23" s="325">
        <v>-0.20363039999999999</v>
      </c>
      <c r="T23" s="325">
        <v>-0.32781709999999997</v>
      </c>
      <c r="U23" s="322"/>
      <c r="V23" s="325">
        <f t="shared" si="0"/>
        <v>0.5</v>
      </c>
      <c r="W23" s="325">
        <v>0.22355099999999961</v>
      </c>
      <c r="X23" s="325">
        <v>0</v>
      </c>
      <c r="Y23" s="325">
        <v>-8.4945000000002935E-4</v>
      </c>
      <c r="Z23" s="325">
        <f t="shared" si="1"/>
        <v>-8.4945000000002935E-2</v>
      </c>
    </row>
    <row r="24" spans="15:26">
      <c r="O24" s="322"/>
      <c r="P24" s="322"/>
      <c r="Q24" s="325">
        <v>0.37360860000000001</v>
      </c>
      <c r="R24" s="325">
        <v>0.14712439999999999</v>
      </c>
      <c r="S24" s="325">
        <v>-0.16517560000000001</v>
      </c>
      <c r="T24" s="325">
        <v>-0.35553420000000002</v>
      </c>
      <c r="U24" s="322"/>
      <c r="V24" s="325">
        <f t="shared" si="0"/>
        <v>0.5</v>
      </c>
      <c r="W24" s="325">
        <v>0.31967200000000418</v>
      </c>
      <c r="X24" s="325">
        <v>0</v>
      </c>
      <c r="Y24" s="325">
        <v>3.7821999999998468E-4</v>
      </c>
      <c r="Z24" s="325">
        <f t="shared" si="1"/>
        <v>3.7821999999998468E-2</v>
      </c>
    </row>
    <row r="25" spans="15:26">
      <c r="O25" s="322"/>
      <c r="P25" s="322"/>
      <c r="Q25" s="325">
        <v>0.39290789999999998</v>
      </c>
      <c r="R25" s="325">
        <v>0.14708399999999999</v>
      </c>
      <c r="S25" s="325">
        <v>-0.1505264</v>
      </c>
      <c r="T25" s="325">
        <v>-0.38945390000000002</v>
      </c>
      <c r="U25" s="322"/>
      <c r="V25" s="325">
        <f t="shared" si="0"/>
        <v>0.5</v>
      </c>
      <c r="W25" s="325">
        <v>0.4264084999999973</v>
      </c>
      <c r="X25" s="325">
        <v>0</v>
      </c>
      <c r="Y25" s="325">
        <v>1.7398650000000071E-3</v>
      </c>
      <c r="Z25" s="325">
        <f t="shared" si="1"/>
        <v>0.17398650000000071</v>
      </c>
    </row>
    <row r="26" spans="15:26">
      <c r="O26" s="322"/>
      <c r="P26" s="322"/>
      <c r="Q26" s="325">
        <v>0.49474059999999997</v>
      </c>
      <c r="R26" s="325">
        <v>0.1609643</v>
      </c>
      <c r="S26" s="325">
        <v>-0.1844296</v>
      </c>
      <c r="T26" s="325">
        <v>-0.47126380000000001</v>
      </c>
      <c r="U26" s="322"/>
      <c r="V26" s="325">
        <f t="shared" si="0"/>
        <v>0.5</v>
      </c>
      <c r="W26" s="325">
        <v>0.57234699999999528</v>
      </c>
      <c r="X26" s="325">
        <v>0</v>
      </c>
      <c r="Y26" s="325">
        <v>3.3513499999999752E-3</v>
      </c>
      <c r="Z26" s="325">
        <f t="shared" si="1"/>
        <v>0.33513499999999752</v>
      </c>
    </row>
    <row r="27" spans="15:26">
      <c r="O27" s="322"/>
      <c r="P27" s="322"/>
      <c r="Q27" s="325">
        <v>0.44632369999999999</v>
      </c>
      <c r="R27" s="325">
        <v>0.13798389999999999</v>
      </c>
      <c r="S27" s="325">
        <v>-0.18323120000000001</v>
      </c>
      <c r="T27" s="325">
        <v>-0.4010763</v>
      </c>
      <c r="U27" s="322"/>
      <c r="V27" s="325">
        <f t="shared" si="0"/>
        <v>0.5</v>
      </c>
      <c r="W27" s="325">
        <v>0.45189999999999397</v>
      </c>
      <c r="X27" s="325">
        <v>0</v>
      </c>
      <c r="Y27" s="325">
        <v>1.8707399999999819E-3</v>
      </c>
      <c r="Z27" s="325">
        <f t="shared" si="1"/>
        <v>0.18707399999999819</v>
      </c>
    </row>
    <row r="28" spans="15:26">
      <c r="O28" s="322"/>
      <c r="P28" s="322"/>
      <c r="Q28" s="325">
        <v>0.4213461</v>
      </c>
      <c r="R28" s="325">
        <v>0.1550136</v>
      </c>
      <c r="S28" s="325">
        <v>-0.175791</v>
      </c>
      <c r="T28" s="325">
        <v>-0.4005572</v>
      </c>
      <c r="U28" s="322"/>
      <c r="V28" s="325">
        <f t="shared" si="0"/>
        <v>0.5</v>
      </c>
      <c r="W28" s="325">
        <v>0.45703049999998857</v>
      </c>
      <c r="X28" s="325">
        <v>0</v>
      </c>
      <c r="Y28" s="325">
        <v>1.3311249999998775E-3</v>
      </c>
      <c r="Z28" s="325">
        <f t="shared" si="1"/>
        <v>0.13311249999998775</v>
      </c>
    </row>
    <row r="29" spans="15:26">
      <c r="O29" s="322"/>
      <c r="P29" s="322"/>
      <c r="Q29" s="325">
        <v>0.42776219999999998</v>
      </c>
      <c r="R29" s="325">
        <v>0.17396890000000001</v>
      </c>
      <c r="S29" s="325">
        <v>-0.1433043</v>
      </c>
      <c r="T29" s="325">
        <v>-0.45840370000000003</v>
      </c>
      <c r="U29" s="322"/>
      <c r="V29" s="325">
        <f t="shared" si="0"/>
        <v>0.5</v>
      </c>
      <c r="W29" s="325">
        <v>0.61774700000003513</v>
      </c>
      <c r="X29" s="325">
        <v>0</v>
      </c>
      <c r="Y29" s="325">
        <v>3.3634700000002571E-3</v>
      </c>
      <c r="Z29" s="325">
        <f t="shared" si="1"/>
        <v>0.33634700000002571</v>
      </c>
    </row>
    <row r="30" spans="15:26">
      <c r="O30" s="322"/>
      <c r="P30" s="322">
        <v>2000</v>
      </c>
      <c r="Q30" s="325">
        <v>0.47746840000000002</v>
      </c>
      <c r="R30" s="325">
        <v>0.16929430000000001</v>
      </c>
      <c r="S30" s="325">
        <v>-0.15436839999999999</v>
      </c>
      <c r="T30" s="325">
        <v>-0.49239430000000001</v>
      </c>
      <c r="U30" s="322"/>
      <c r="V30" s="325">
        <f t="shared" si="0"/>
        <v>0.5</v>
      </c>
      <c r="W30" s="325">
        <v>0.61111449999999845</v>
      </c>
      <c r="X30" s="325">
        <v>0</v>
      </c>
      <c r="Y30" s="325">
        <v>3.3196849999999056E-3</v>
      </c>
      <c r="Z30" s="325">
        <f t="shared" si="1"/>
        <v>0.33196849999999056</v>
      </c>
    </row>
    <row r="31" spans="15:26">
      <c r="O31" s="322"/>
      <c r="P31" s="322" t="s">
        <v>631</v>
      </c>
      <c r="Q31" s="325">
        <v>0.50930540000000002</v>
      </c>
      <c r="R31" s="325">
        <v>0.19564580000000001</v>
      </c>
      <c r="S31" s="325">
        <v>-0.17077030000000001</v>
      </c>
      <c r="T31" s="325">
        <v>-0.53419229999999995</v>
      </c>
      <c r="U31" s="322"/>
      <c r="V31" s="325">
        <f t="shared" si="0"/>
        <v>0.5</v>
      </c>
      <c r="W31" s="325">
        <v>0.71381400000001261</v>
      </c>
      <c r="X31" s="325">
        <v>0</v>
      </c>
      <c r="Y31" s="325">
        <v>4.498040000000314E-3</v>
      </c>
      <c r="Z31" s="325">
        <f t="shared" si="1"/>
        <v>0.4498040000000314</v>
      </c>
    </row>
    <row r="32" spans="15:26">
      <c r="O32" s="322"/>
      <c r="P32" s="322" t="s">
        <v>632</v>
      </c>
      <c r="Q32" s="325">
        <v>0.43712610000000002</v>
      </c>
      <c r="R32" s="325">
        <v>0.2295171</v>
      </c>
      <c r="S32" s="325">
        <v>-0.1066836</v>
      </c>
      <c r="T32" s="325">
        <v>-0.55993709999999997</v>
      </c>
      <c r="U32" s="322"/>
      <c r="V32" s="325">
        <f t="shared" si="0"/>
        <v>0.5</v>
      </c>
      <c r="W32" s="325">
        <v>0.98997050000000364</v>
      </c>
      <c r="X32" s="325">
        <v>0</v>
      </c>
      <c r="Y32" s="325">
        <v>7.975425000000147E-3</v>
      </c>
      <c r="Z32" s="325">
        <f t="shared" si="1"/>
        <v>0.7975425000000147</v>
      </c>
    </row>
    <row r="33" spans="15:26">
      <c r="O33" s="322"/>
      <c r="P33" s="322" t="s">
        <v>633</v>
      </c>
      <c r="Q33" s="325">
        <v>0.46876050000000002</v>
      </c>
      <c r="R33" s="325">
        <v>0.24905050000000001</v>
      </c>
      <c r="S33" s="325">
        <v>-0.12979950000000001</v>
      </c>
      <c r="T33" s="325">
        <v>-0.58801139999999996</v>
      </c>
      <c r="U33" s="322"/>
      <c r="V33" s="325">
        <f t="shared" si="0"/>
        <v>0.5</v>
      </c>
      <c r="W33" s="325">
        <v>1.0003454999999883</v>
      </c>
      <c r="X33" s="325">
        <v>0</v>
      </c>
      <c r="Y33" s="325">
        <v>7.7858550000000637E-3</v>
      </c>
      <c r="Z33" s="325">
        <f t="shared" si="1"/>
        <v>0.77858550000000637</v>
      </c>
    </row>
    <row r="34" spans="15:26">
      <c r="O34" s="322"/>
      <c r="P34" s="322" t="s">
        <v>634</v>
      </c>
      <c r="Q34" s="325">
        <v>0.49086760000000002</v>
      </c>
      <c r="R34" s="325">
        <v>0.25505509999999998</v>
      </c>
      <c r="S34" s="325">
        <v>-0.13304630000000001</v>
      </c>
      <c r="T34" s="325">
        <v>-0.61288759999999998</v>
      </c>
      <c r="U34" s="322"/>
      <c r="V34" s="325">
        <f t="shared" si="0"/>
        <v>0.5</v>
      </c>
      <c r="W34" s="325">
        <v>1.0353725000000091</v>
      </c>
      <c r="X34" s="325">
        <v>0</v>
      </c>
      <c r="Y34" s="325">
        <v>8.1080049999999737E-3</v>
      </c>
      <c r="Z34" s="325">
        <f t="shared" si="1"/>
        <v>0.81080049999999737</v>
      </c>
    </row>
    <row r="35" spans="15:26">
      <c r="O35" s="322"/>
      <c r="P35" s="322" t="s">
        <v>635</v>
      </c>
      <c r="Q35" s="325">
        <v>0.54690510000000003</v>
      </c>
      <c r="R35" s="325">
        <v>0.32225530000000002</v>
      </c>
      <c r="S35" s="325">
        <v>-0.10415489999999999</v>
      </c>
      <c r="T35" s="325">
        <v>-0.76498330000000003</v>
      </c>
      <c r="U35" s="322"/>
      <c r="V35" s="325">
        <f t="shared" si="0"/>
        <v>0.5</v>
      </c>
      <c r="W35" s="325">
        <v>1.4333150000000128</v>
      </c>
      <c r="X35" s="325">
        <v>0</v>
      </c>
      <c r="Y35" s="325">
        <v>1.3015910000000019E-2</v>
      </c>
      <c r="Z35" s="325">
        <f t="shared" si="1"/>
        <v>1.3015910000000019</v>
      </c>
    </row>
    <row r="36" spans="15:26">
      <c r="O36" s="322"/>
      <c r="P36" s="322" t="s">
        <v>636</v>
      </c>
      <c r="Q36" s="325">
        <v>0.61689479999999997</v>
      </c>
      <c r="R36" s="325">
        <v>0.33665309999999998</v>
      </c>
      <c r="S36" s="325">
        <v>-0.13294420000000001</v>
      </c>
      <c r="T36" s="325">
        <v>-0.82058140000000002</v>
      </c>
      <c r="U36" s="322"/>
      <c r="V36" s="325">
        <f t="shared" si="0"/>
        <v>0.5</v>
      </c>
      <c r="W36" s="325">
        <v>1.453249000000012</v>
      </c>
      <c r="X36" s="325">
        <v>0</v>
      </c>
      <c r="Y36" s="325">
        <v>1.2925690000000101E-2</v>
      </c>
      <c r="Z36" s="325">
        <f t="shared" si="1"/>
        <v>1.2925690000000101</v>
      </c>
    </row>
    <row r="37" spans="15:26">
      <c r="O37" s="322"/>
      <c r="P37" s="322" t="s">
        <v>637</v>
      </c>
      <c r="Q37" s="325">
        <v>0.67244839999999995</v>
      </c>
      <c r="R37" s="325">
        <v>0.27614290000000002</v>
      </c>
      <c r="S37" s="325">
        <v>-0.19503670000000001</v>
      </c>
      <c r="T37" s="325">
        <v>-0.75357689999999999</v>
      </c>
      <c r="U37" s="322"/>
      <c r="V37" s="325">
        <f t="shared" si="0"/>
        <v>0.5</v>
      </c>
      <c r="W37" s="325">
        <v>1.1530649999999865</v>
      </c>
      <c r="X37" s="325">
        <v>0</v>
      </c>
      <c r="Y37" s="325">
        <v>8.5281899999998245E-3</v>
      </c>
      <c r="Z37" s="325">
        <f t="shared" si="1"/>
        <v>0.85281899999998245</v>
      </c>
    </row>
    <row r="38" spans="15:26">
      <c r="O38" s="322"/>
      <c r="P38" s="322" t="s">
        <v>638</v>
      </c>
      <c r="Q38" s="325">
        <v>0.77444860000000004</v>
      </c>
      <c r="R38" s="325">
        <v>0.29424359999999999</v>
      </c>
      <c r="S38" s="325">
        <v>-0.22465180000000001</v>
      </c>
      <c r="T38" s="325">
        <v>-0.84406250000000005</v>
      </c>
      <c r="U38" s="322"/>
      <c r="V38" s="325">
        <f t="shared" si="0"/>
        <v>0.5</v>
      </c>
      <c r="W38" s="325">
        <v>1.3605319999999921</v>
      </c>
      <c r="X38" s="325">
        <v>0</v>
      </c>
      <c r="Y38" s="325">
        <v>1.1031719999999856E-2</v>
      </c>
      <c r="Z38" s="325">
        <f t="shared" si="1"/>
        <v>1.1031719999999856</v>
      </c>
    </row>
    <row r="39" spans="15:26">
      <c r="O39" s="322"/>
      <c r="P39" s="322" t="s">
        <v>639</v>
      </c>
      <c r="Q39" s="325">
        <v>0.73527710000000002</v>
      </c>
      <c r="R39" s="325">
        <v>0.27902369999999999</v>
      </c>
      <c r="S39" s="325">
        <v>-0.2297035</v>
      </c>
      <c r="T39" s="325">
        <v>-0.78457509999999997</v>
      </c>
      <c r="U39" s="322"/>
      <c r="V39" s="325">
        <f t="shared" si="0"/>
        <v>0.5</v>
      </c>
      <c r="W39" s="325">
        <v>1.2686259999999949</v>
      </c>
      <c r="X39" s="325">
        <v>0</v>
      </c>
      <c r="Y39" s="325">
        <v>1.0002960000000005E-2</v>
      </c>
      <c r="Z39" s="325">
        <f t="shared" si="1"/>
        <v>1.0002960000000005</v>
      </c>
    </row>
    <row r="40" spans="15:26">
      <c r="O40" s="322"/>
      <c r="P40" s="322" t="s">
        <v>640</v>
      </c>
      <c r="Q40" s="325">
        <v>0.7239951</v>
      </c>
      <c r="R40" s="325">
        <v>0.30363760000000001</v>
      </c>
      <c r="S40" s="325">
        <v>-0.2080842</v>
      </c>
      <c r="T40" s="325">
        <v>-0.81952639999999999</v>
      </c>
      <c r="U40" s="322"/>
      <c r="V40" s="325">
        <f t="shared" si="0"/>
        <v>0.5</v>
      </c>
      <c r="W40" s="325">
        <v>1.3357420000000175</v>
      </c>
      <c r="X40" s="325">
        <v>0</v>
      </c>
      <c r="Y40" s="325">
        <v>1.013670000000011E-2</v>
      </c>
      <c r="Z40" s="325">
        <f t="shared" si="1"/>
        <v>1.013670000000011</v>
      </c>
    </row>
    <row r="41" spans="15:26">
      <c r="O41" s="322"/>
      <c r="P41" s="322" t="s">
        <v>641</v>
      </c>
      <c r="Q41" s="325">
        <v>0.78177339999999995</v>
      </c>
      <c r="R41" s="325">
        <v>0.30777589999999999</v>
      </c>
      <c r="S41" s="325">
        <v>-0.22976260000000001</v>
      </c>
      <c r="T41" s="325">
        <v>-0.85980889999999999</v>
      </c>
      <c r="U41" s="322"/>
      <c r="V41" s="325">
        <f t="shared" si="0"/>
        <v>0.5</v>
      </c>
      <c r="W41" s="325">
        <v>1.3086855000000064</v>
      </c>
      <c r="X41" s="325">
        <v>0</v>
      </c>
      <c r="Y41" s="325">
        <v>9.7096150000000048E-3</v>
      </c>
      <c r="Z41" s="325">
        <f t="shared" si="1"/>
        <v>0.97096150000000048</v>
      </c>
    </row>
    <row r="42" spans="15:26">
      <c r="O42" s="322"/>
      <c r="P42" s="322">
        <v>2001</v>
      </c>
      <c r="Q42" s="325">
        <v>0.89925960000000005</v>
      </c>
      <c r="R42" s="325">
        <v>0.35606490000000002</v>
      </c>
      <c r="S42" s="325">
        <v>-0.26440979999999997</v>
      </c>
      <c r="T42" s="325">
        <v>-0.99091470000000004</v>
      </c>
      <c r="U42" s="322"/>
      <c r="V42" s="325">
        <f t="shared" si="0"/>
        <v>0.5</v>
      </c>
      <c r="W42" s="325">
        <v>1.5128639999999915</v>
      </c>
      <c r="X42" s="325">
        <v>0</v>
      </c>
      <c r="Y42" s="325">
        <v>1.1651019999999956E-2</v>
      </c>
      <c r="Z42" s="325">
        <f t="shared" si="1"/>
        <v>1.1651019999999956</v>
      </c>
    </row>
    <row r="43" spans="15:26">
      <c r="O43" s="322"/>
      <c r="P43" s="322" t="s">
        <v>642</v>
      </c>
      <c r="Q43" s="325">
        <v>0.88278389999999995</v>
      </c>
      <c r="R43" s="325">
        <v>0.35409400000000002</v>
      </c>
      <c r="S43" s="325">
        <v>-0.26995459999999999</v>
      </c>
      <c r="T43" s="325">
        <v>-0.96691229999999995</v>
      </c>
      <c r="U43" s="322"/>
      <c r="V43" s="325">
        <f t="shared" si="0"/>
        <v>0.5</v>
      </c>
      <c r="W43" s="325">
        <v>1.4950425000000322</v>
      </c>
      <c r="X43" s="325">
        <v>0</v>
      </c>
      <c r="Y43" s="325">
        <v>1.1612585000000175E-2</v>
      </c>
      <c r="Z43" s="325">
        <f t="shared" si="1"/>
        <v>1.1612585000000175</v>
      </c>
    </row>
    <row r="44" spans="15:26">
      <c r="O44" s="322"/>
      <c r="P44" s="322" t="s">
        <v>643</v>
      </c>
      <c r="Q44" s="325">
        <v>0.88245770000000001</v>
      </c>
      <c r="R44" s="325">
        <v>0.32846629999999999</v>
      </c>
      <c r="S44" s="325">
        <v>-0.30287910000000001</v>
      </c>
      <c r="T44" s="325">
        <v>-0.90805590000000003</v>
      </c>
      <c r="U44" s="322"/>
      <c r="V44" s="325">
        <f t="shared" si="0"/>
        <v>0.58333333333333337</v>
      </c>
      <c r="W44" s="325">
        <v>1.3440935000000209</v>
      </c>
      <c r="X44" s="325">
        <v>1</v>
      </c>
      <c r="Y44" s="325">
        <v>9.8647950000001483E-3</v>
      </c>
      <c r="Z44" s="325">
        <f t="shared" si="1"/>
        <v>0.98647950000001483</v>
      </c>
    </row>
    <row r="45" spans="15:26">
      <c r="O45" s="322"/>
      <c r="P45" s="322" t="s">
        <v>644</v>
      </c>
      <c r="Q45" s="325">
        <v>0.89638709999999999</v>
      </c>
      <c r="R45" s="325">
        <v>0.38843509999999998</v>
      </c>
      <c r="S45" s="325">
        <v>-0.25976660000000001</v>
      </c>
      <c r="T45" s="325">
        <v>-1.025056</v>
      </c>
      <c r="U45" s="322"/>
      <c r="V45" s="325">
        <f t="shared" si="0"/>
        <v>0.58333333333333337</v>
      </c>
      <c r="W45" s="325">
        <v>1.7222080000000028</v>
      </c>
      <c r="X45" s="325">
        <v>1</v>
      </c>
      <c r="Y45" s="325">
        <v>1.4884099999999956E-2</v>
      </c>
      <c r="Z45" s="325">
        <f t="shared" si="1"/>
        <v>1.4884099999999956</v>
      </c>
    </row>
    <row r="46" spans="15:26">
      <c r="O46" s="322"/>
      <c r="P46" s="322" t="s">
        <v>645</v>
      </c>
      <c r="Q46" s="325">
        <v>0.91484840000000001</v>
      </c>
      <c r="R46" s="325">
        <v>0.4518297</v>
      </c>
      <c r="S46" s="325">
        <v>-0.20317470000000001</v>
      </c>
      <c r="T46" s="325">
        <v>-1.163503</v>
      </c>
      <c r="U46" s="322"/>
      <c r="V46" s="325">
        <f t="shared" si="0"/>
        <v>0.58333333333333337</v>
      </c>
      <c r="W46" s="325">
        <v>2.1668534999999878</v>
      </c>
      <c r="X46" s="325">
        <v>1</v>
      </c>
      <c r="Y46" s="325">
        <v>2.0213554999999772E-2</v>
      </c>
      <c r="Z46" s="325">
        <f t="shared" si="1"/>
        <v>2.0213554999999772</v>
      </c>
    </row>
    <row r="47" spans="15:26">
      <c r="O47" s="322"/>
      <c r="P47" s="322" t="s">
        <v>646</v>
      </c>
      <c r="Q47" s="325">
        <v>1.0196240000000001</v>
      </c>
      <c r="R47" s="325">
        <v>0.45775320000000003</v>
      </c>
      <c r="S47" s="325">
        <v>-0.25403599999999998</v>
      </c>
      <c r="T47" s="325">
        <v>-1.223363</v>
      </c>
      <c r="U47" s="322"/>
      <c r="V47" s="325">
        <f t="shared" si="0"/>
        <v>0.58333333333333337</v>
      </c>
      <c r="W47" s="325">
        <v>2.1543870000000132</v>
      </c>
      <c r="X47" s="325">
        <v>1</v>
      </c>
      <c r="Y47" s="325">
        <v>1.9669510000000168E-2</v>
      </c>
      <c r="Z47" s="325">
        <f t="shared" si="1"/>
        <v>1.9669510000000168</v>
      </c>
    </row>
    <row r="48" spans="15:26">
      <c r="O48" s="322"/>
      <c r="P48" s="322" t="s">
        <v>647</v>
      </c>
      <c r="Q48" s="325">
        <v>1.1131089999999999</v>
      </c>
      <c r="R48" s="325">
        <v>0.42521639999999999</v>
      </c>
      <c r="S48" s="325">
        <v>-0.33232200000000001</v>
      </c>
      <c r="T48" s="325">
        <v>-1.2060249999999999</v>
      </c>
      <c r="U48" s="322"/>
      <c r="V48" s="325">
        <f t="shared" si="0"/>
        <v>0.58333333333333337</v>
      </c>
      <c r="W48" s="325">
        <v>1.8369209999999692</v>
      </c>
      <c r="X48" s="325">
        <v>1</v>
      </c>
      <c r="Y48" s="325">
        <v>1.4749349999999772E-2</v>
      </c>
      <c r="Z48" s="325">
        <f t="shared" si="1"/>
        <v>1.4749349999999772</v>
      </c>
    </row>
    <row r="49" spans="15:26">
      <c r="O49" s="322"/>
      <c r="P49" s="322" t="s">
        <v>648</v>
      </c>
      <c r="Q49" s="325">
        <v>1.143124</v>
      </c>
      <c r="R49" s="325">
        <v>0.35646699999999998</v>
      </c>
      <c r="S49" s="325">
        <v>-0.37870179999999998</v>
      </c>
      <c r="T49" s="325">
        <v>-1.1208670000000001</v>
      </c>
      <c r="U49" s="322"/>
      <c r="V49" s="325">
        <f t="shared" si="0"/>
        <v>0.58333333333333337</v>
      </c>
      <c r="W49" s="325">
        <v>1.5276869999999887</v>
      </c>
      <c r="X49" s="325">
        <v>1</v>
      </c>
      <c r="Y49" s="325">
        <v>1.0252449999999858E-2</v>
      </c>
      <c r="Z49" s="325">
        <f t="shared" si="1"/>
        <v>1.0252449999999858</v>
      </c>
    </row>
    <row r="50" spans="15:26">
      <c r="O50" s="322"/>
      <c r="P50" s="322" t="s">
        <v>649</v>
      </c>
      <c r="Q50" s="325">
        <v>1.2185330000000001</v>
      </c>
      <c r="R50" s="325">
        <v>0.36616949999999998</v>
      </c>
      <c r="S50" s="325">
        <v>-0.38304769999999999</v>
      </c>
      <c r="T50" s="325">
        <v>-1.201665</v>
      </c>
      <c r="U50" s="322"/>
      <c r="V50" s="325">
        <f t="shared" si="0"/>
        <v>0.58333333333333337</v>
      </c>
      <c r="W50" s="325">
        <v>1.8032115000000015</v>
      </c>
      <c r="X50" s="325">
        <v>1</v>
      </c>
      <c r="Y50" s="325">
        <v>1.3572315000000001E-2</v>
      </c>
      <c r="Z50" s="325">
        <f t="shared" si="1"/>
        <v>1.3572315000000001</v>
      </c>
    </row>
    <row r="51" spans="15:26">
      <c r="O51" s="322"/>
      <c r="P51" s="322" t="s">
        <v>650</v>
      </c>
      <c r="Q51" s="325">
        <v>1.167198</v>
      </c>
      <c r="R51" s="325">
        <v>0.27504139999999999</v>
      </c>
      <c r="S51" s="325">
        <v>-0.43066199999999999</v>
      </c>
      <c r="T51" s="325">
        <v>-1.0115890000000001</v>
      </c>
      <c r="U51" s="322"/>
      <c r="V51" s="325">
        <f t="shared" si="0"/>
        <v>0.58333333333333337</v>
      </c>
      <c r="W51" s="325">
        <v>1.2451739999999711</v>
      </c>
      <c r="X51" s="325">
        <v>1</v>
      </c>
      <c r="Y51" s="325">
        <v>6.4685999999998245E-3</v>
      </c>
      <c r="Z51" s="325">
        <f t="shared" si="1"/>
        <v>0.64685999999998245</v>
      </c>
    </row>
    <row r="52" spans="15:26">
      <c r="O52" s="322"/>
      <c r="P52" s="322" t="s">
        <v>651</v>
      </c>
      <c r="Q52" s="325">
        <v>1.1581920000000001</v>
      </c>
      <c r="R52" s="325">
        <v>0.25486589999999998</v>
      </c>
      <c r="S52" s="325">
        <v>-0.45140400000000003</v>
      </c>
      <c r="T52" s="325">
        <v>-0.9616536</v>
      </c>
      <c r="U52" s="322"/>
      <c r="V52" s="325">
        <f t="shared" si="0"/>
        <v>0.58333333333333337</v>
      </c>
      <c r="W52" s="325">
        <v>1.0215135000000153</v>
      </c>
      <c r="X52" s="325">
        <v>1</v>
      </c>
      <c r="Y52" s="325">
        <v>3.0500350000000065E-3</v>
      </c>
      <c r="Z52" s="325">
        <f t="shared" si="1"/>
        <v>0.30500350000000065</v>
      </c>
    </row>
    <row r="53" spans="15:26">
      <c r="O53" s="322"/>
      <c r="P53" s="322" t="s">
        <v>652</v>
      </c>
      <c r="Q53" s="325">
        <v>1.126511</v>
      </c>
      <c r="R53" s="325">
        <v>0.2145212</v>
      </c>
      <c r="S53" s="325">
        <v>-0.45227800000000001</v>
      </c>
      <c r="T53" s="325">
        <v>-0.88874350000000002</v>
      </c>
      <c r="U53" s="322"/>
      <c r="V53" s="325">
        <f t="shared" si="0"/>
        <v>0.5</v>
      </c>
      <c r="W53" s="325">
        <v>0.78706599999998073</v>
      </c>
      <c r="X53" s="325">
        <v>0</v>
      </c>
      <c r="Y53" s="325">
        <v>9.1959999999779996E-5</v>
      </c>
      <c r="Z53" s="325">
        <f t="shared" si="1"/>
        <v>9.1959999999779996E-3</v>
      </c>
    </row>
    <row r="54" spans="15:26">
      <c r="O54" s="322"/>
      <c r="P54" s="322">
        <v>2002</v>
      </c>
      <c r="Q54" s="325">
        <v>1.1739919999999999</v>
      </c>
      <c r="R54" s="325">
        <v>0.2251602</v>
      </c>
      <c r="S54" s="325">
        <v>-0.45282689999999998</v>
      </c>
      <c r="T54" s="325">
        <v>-0.94630270000000005</v>
      </c>
      <c r="U54" s="322"/>
      <c r="V54" s="325">
        <f t="shared" si="0"/>
        <v>0.5</v>
      </c>
      <c r="W54" s="325">
        <v>0.89827700000000288</v>
      </c>
      <c r="X54" s="325">
        <v>0</v>
      </c>
      <c r="Y54" s="325">
        <v>1.4909100000000119E-3</v>
      </c>
      <c r="Z54" s="325">
        <f t="shared" si="1"/>
        <v>0.14909100000000119</v>
      </c>
    </row>
    <row r="55" spans="15:26">
      <c r="O55" s="322"/>
      <c r="P55" s="322" t="s">
        <v>653</v>
      </c>
      <c r="Q55" s="325">
        <v>1.2284120000000001</v>
      </c>
      <c r="R55" s="325">
        <v>0.23085800000000001</v>
      </c>
      <c r="S55" s="325">
        <v>-0.4890333</v>
      </c>
      <c r="T55" s="325">
        <v>-0.97022529999999996</v>
      </c>
      <c r="U55" s="322"/>
      <c r="V55" s="325">
        <f t="shared" si="0"/>
        <v>0.5</v>
      </c>
      <c r="W55" s="325">
        <v>0.92346150000000016</v>
      </c>
      <c r="X55" s="325">
        <v>0</v>
      </c>
      <c r="Y55" s="325">
        <v>2.0863950000000742E-3</v>
      </c>
      <c r="Z55" s="325">
        <f t="shared" si="1"/>
        <v>0.20863950000000742</v>
      </c>
    </row>
    <row r="56" spans="15:26">
      <c r="O56" s="322"/>
      <c r="P56" s="322" t="s">
        <v>654</v>
      </c>
      <c r="Q56" s="325">
        <v>1.203362</v>
      </c>
      <c r="R56" s="325">
        <v>0.24900359999999999</v>
      </c>
      <c r="S56" s="325">
        <v>-0.46842060000000002</v>
      </c>
      <c r="T56" s="325">
        <v>-0.98394510000000002</v>
      </c>
      <c r="U56" s="322"/>
      <c r="V56" s="325">
        <f t="shared" si="0"/>
        <v>0.5</v>
      </c>
      <c r="W56" s="325">
        <v>1.1043169999999547</v>
      </c>
      <c r="X56" s="325">
        <v>0</v>
      </c>
      <c r="Y56" s="325">
        <v>4.3751699999996507E-3</v>
      </c>
      <c r="Z56" s="325">
        <f t="shared" si="1"/>
        <v>0.43751699999996507</v>
      </c>
    </row>
    <row r="57" spans="15:26">
      <c r="O57" s="322"/>
      <c r="P57" s="322" t="s">
        <v>655</v>
      </c>
      <c r="Q57" s="325">
        <v>1.2127619999999999</v>
      </c>
      <c r="R57" s="325">
        <v>0.34025830000000001</v>
      </c>
      <c r="S57" s="325">
        <v>-0.41923480000000002</v>
      </c>
      <c r="T57" s="325">
        <v>-1.133775</v>
      </c>
      <c r="U57" s="322"/>
      <c r="V57" s="325">
        <f t="shared" si="0"/>
        <v>0.5</v>
      </c>
      <c r="W57" s="325">
        <v>1.6366440000000093</v>
      </c>
      <c r="X57" s="325">
        <v>0</v>
      </c>
      <c r="Y57" s="325">
        <v>1.1360540000000086E-2</v>
      </c>
      <c r="Z57" s="325">
        <f t="shared" si="1"/>
        <v>1.1360540000000086</v>
      </c>
    </row>
    <row r="58" spans="15:26">
      <c r="O58" s="322"/>
      <c r="P58" s="322" t="s">
        <v>656</v>
      </c>
      <c r="Q58" s="325">
        <v>1.21841</v>
      </c>
      <c r="R58" s="325">
        <v>0.34819149999999999</v>
      </c>
      <c r="S58" s="325">
        <v>-0.4244289</v>
      </c>
      <c r="T58" s="325">
        <v>-1.1421509999999999</v>
      </c>
      <c r="U58" s="322"/>
      <c r="V58" s="325">
        <f t="shared" si="0"/>
        <v>0.5</v>
      </c>
      <c r="W58" s="325">
        <v>1.6124094999999894</v>
      </c>
      <c r="X58" s="325">
        <v>0</v>
      </c>
      <c r="Y58" s="325">
        <v>1.0977734999999766E-2</v>
      </c>
      <c r="Z58" s="325">
        <f t="shared" si="1"/>
        <v>1.0977734999999766</v>
      </c>
    </row>
    <row r="59" spans="15:26">
      <c r="O59" s="322"/>
      <c r="P59" s="322" t="s">
        <v>657</v>
      </c>
      <c r="Q59" s="325">
        <v>1.3299510000000001</v>
      </c>
      <c r="R59" s="325">
        <v>0.37530069999999999</v>
      </c>
      <c r="S59" s="325">
        <v>-0.44055670000000002</v>
      </c>
      <c r="T59" s="325">
        <v>-1.2647060000000001</v>
      </c>
      <c r="U59" s="322"/>
      <c r="V59" s="325">
        <f t="shared" si="0"/>
        <v>0.5</v>
      </c>
      <c r="W59" s="325">
        <v>1.7858499999999999</v>
      </c>
      <c r="X59" s="325">
        <v>0</v>
      </c>
      <c r="Y59" s="325">
        <v>1.2767880000000176E-2</v>
      </c>
      <c r="Z59" s="325">
        <f t="shared" si="1"/>
        <v>1.2767880000000176</v>
      </c>
    </row>
    <row r="60" spans="15:26">
      <c r="O60" s="322"/>
      <c r="P60" s="322" t="s">
        <v>658</v>
      </c>
      <c r="Q60" s="325">
        <v>1.3492999999999999</v>
      </c>
      <c r="R60" s="325">
        <v>0.39383750000000001</v>
      </c>
      <c r="S60" s="325">
        <v>-0.42136820000000003</v>
      </c>
      <c r="T60" s="325">
        <v>-1.32178</v>
      </c>
      <c r="U60" s="322"/>
      <c r="V60" s="325">
        <f t="shared" si="0"/>
        <v>0.5</v>
      </c>
      <c r="W60" s="325">
        <v>1.9150170000000299</v>
      </c>
      <c r="X60" s="325">
        <v>0</v>
      </c>
      <c r="Y60" s="325">
        <v>1.3995530000000089E-2</v>
      </c>
      <c r="Z60" s="325">
        <f t="shared" si="1"/>
        <v>1.3995530000000089</v>
      </c>
    </row>
    <row r="61" spans="15:26">
      <c r="O61" s="322"/>
      <c r="P61" s="322" t="s">
        <v>659</v>
      </c>
      <c r="Q61" s="325">
        <v>1.3908050000000001</v>
      </c>
      <c r="R61" s="325">
        <v>0.35537530000000001</v>
      </c>
      <c r="S61" s="325">
        <v>-0.4532834</v>
      </c>
      <c r="T61" s="325">
        <v>-1.292897</v>
      </c>
      <c r="U61" s="322"/>
      <c r="V61" s="325">
        <f t="shared" si="0"/>
        <v>0.5</v>
      </c>
      <c r="W61" s="325">
        <v>1.8023359999999933</v>
      </c>
      <c r="X61" s="325">
        <v>0</v>
      </c>
      <c r="Y61" s="325">
        <v>1.198877999999981E-2</v>
      </c>
      <c r="Z61" s="325">
        <f t="shared" si="1"/>
        <v>1.198877999999981</v>
      </c>
    </row>
    <row r="62" spans="15:26">
      <c r="O62" s="322"/>
      <c r="P62" s="322" t="s">
        <v>660</v>
      </c>
      <c r="Q62" s="325">
        <v>1.4770380000000001</v>
      </c>
      <c r="R62" s="325">
        <v>0.32448199999999999</v>
      </c>
      <c r="S62" s="325">
        <v>-0.49733630000000001</v>
      </c>
      <c r="T62" s="325">
        <v>-1.304184</v>
      </c>
      <c r="U62" s="322"/>
      <c r="V62" s="325">
        <f t="shared" si="0"/>
        <v>0.5</v>
      </c>
      <c r="W62" s="325">
        <v>1.7580234999999833</v>
      </c>
      <c r="X62" s="325">
        <v>0</v>
      </c>
      <c r="Y62" s="325">
        <v>1.0951015000000064E-2</v>
      </c>
      <c r="Z62" s="325">
        <f t="shared" si="1"/>
        <v>1.0951015000000064</v>
      </c>
    </row>
    <row r="63" spans="15:26">
      <c r="O63" s="322"/>
      <c r="P63" s="322" t="s">
        <v>661</v>
      </c>
      <c r="Q63" s="325">
        <v>1.405033</v>
      </c>
      <c r="R63" s="325">
        <v>0.3121505</v>
      </c>
      <c r="S63" s="325">
        <v>-0.47019509999999998</v>
      </c>
      <c r="T63" s="325">
        <v>-1.246988</v>
      </c>
      <c r="U63" s="322"/>
      <c r="V63" s="325">
        <f t="shared" si="0"/>
        <v>0.5</v>
      </c>
      <c r="W63" s="325">
        <v>1.7167030000000194</v>
      </c>
      <c r="X63" s="325">
        <v>0</v>
      </c>
      <c r="Y63" s="325">
        <v>1.0647410000000246E-2</v>
      </c>
      <c r="Z63" s="325">
        <f t="shared" si="1"/>
        <v>1.0647410000000246</v>
      </c>
    </row>
    <row r="64" spans="15:26">
      <c r="O64" s="322"/>
      <c r="P64" s="322" t="s">
        <v>662</v>
      </c>
      <c r="Q64" s="325">
        <v>1.4033629999999999</v>
      </c>
      <c r="R64" s="325">
        <v>0.33077909999999999</v>
      </c>
      <c r="S64" s="325">
        <v>-0.45569029999999999</v>
      </c>
      <c r="T64" s="325">
        <v>-1.278473</v>
      </c>
      <c r="U64" s="322"/>
      <c r="V64" s="325">
        <f t="shared" si="0"/>
        <v>0.5</v>
      </c>
      <c r="W64" s="325">
        <v>1.8138780000000132</v>
      </c>
      <c r="X64" s="325">
        <v>0</v>
      </c>
      <c r="Y64" s="325">
        <v>1.1429440000000124E-2</v>
      </c>
      <c r="Z64" s="325">
        <f t="shared" si="1"/>
        <v>1.1429440000000124</v>
      </c>
    </row>
    <row r="65" spans="15:26">
      <c r="O65" s="322"/>
      <c r="P65" s="322" t="s">
        <v>663</v>
      </c>
      <c r="Q65" s="325">
        <v>1.4715560000000001</v>
      </c>
      <c r="R65" s="325">
        <v>0.33738069999999998</v>
      </c>
      <c r="S65" s="325">
        <v>-0.46986640000000002</v>
      </c>
      <c r="T65" s="325">
        <v>-1.3390919999999999</v>
      </c>
      <c r="U65" s="322"/>
      <c r="V65" s="325">
        <f t="shared" si="0"/>
        <v>0.5</v>
      </c>
      <c r="W65" s="325">
        <v>1.8542274999999941</v>
      </c>
      <c r="X65" s="325">
        <v>0</v>
      </c>
      <c r="Y65" s="325">
        <v>1.1863494999999835E-2</v>
      </c>
      <c r="Z65" s="325">
        <f t="shared" si="1"/>
        <v>1.1863494999999835</v>
      </c>
    </row>
    <row r="66" spans="15:26">
      <c r="O66" s="322"/>
      <c r="P66" s="322">
        <v>2003</v>
      </c>
      <c r="Q66" s="325">
        <v>1.513522</v>
      </c>
      <c r="R66" s="325">
        <v>0.37385790000000002</v>
      </c>
      <c r="S66" s="325">
        <v>-0.4544318</v>
      </c>
      <c r="T66" s="325">
        <v>-1.4329590000000001</v>
      </c>
      <c r="U66" s="322"/>
      <c r="V66" s="325">
        <f t="shared" si="0"/>
        <v>0.5</v>
      </c>
      <c r="W66" s="325">
        <v>2.0809089999999753</v>
      </c>
      <c r="X66" s="325">
        <v>0</v>
      </c>
      <c r="Y66" s="325">
        <v>1.4710889999999921E-2</v>
      </c>
      <c r="Z66" s="325">
        <f t="shared" si="1"/>
        <v>1.4710889999999921</v>
      </c>
    </row>
    <row r="67" spans="15:26">
      <c r="O67" s="322"/>
      <c r="P67" s="322" t="s">
        <v>664</v>
      </c>
      <c r="Q67" s="325">
        <v>1.5395000000000001</v>
      </c>
      <c r="R67" s="325">
        <v>0.43825360000000002</v>
      </c>
      <c r="S67" s="325">
        <v>-0.42231049999999998</v>
      </c>
      <c r="T67" s="325">
        <v>-1.5554539999999999</v>
      </c>
      <c r="U67" s="322"/>
      <c r="V67" s="325">
        <f t="shared" si="0"/>
        <v>0.5</v>
      </c>
      <c r="W67" s="325">
        <v>2.5476989999999589</v>
      </c>
      <c r="X67" s="325">
        <v>0</v>
      </c>
      <c r="Y67" s="325">
        <v>2.0852249999999684E-2</v>
      </c>
      <c r="Z67" s="325">
        <f t="shared" si="1"/>
        <v>2.0852249999999684</v>
      </c>
    </row>
    <row r="68" spans="15:26">
      <c r="O68" s="322"/>
      <c r="P68" s="322" t="s">
        <v>665</v>
      </c>
      <c r="Q68" s="325">
        <v>1.570533</v>
      </c>
      <c r="R68" s="325">
        <v>0.4900542</v>
      </c>
      <c r="S68" s="325">
        <v>-0.41797260000000003</v>
      </c>
      <c r="T68" s="325">
        <v>-1.642636</v>
      </c>
      <c r="U68" s="322"/>
      <c r="V68" s="325">
        <f t="shared" si="0"/>
        <v>0.5</v>
      </c>
      <c r="W68" s="325">
        <v>2.8785310000000175</v>
      </c>
      <c r="X68" s="325">
        <v>0</v>
      </c>
      <c r="Y68" s="325">
        <v>2.4925870000000128E-2</v>
      </c>
      <c r="Z68" s="325">
        <f t="shared" si="1"/>
        <v>2.4925870000000128</v>
      </c>
    </row>
    <row r="69" spans="15:26">
      <c r="O69" s="322"/>
      <c r="P69" s="322" t="s">
        <v>666</v>
      </c>
      <c r="Q69" s="325">
        <v>1.561018</v>
      </c>
      <c r="R69" s="325">
        <v>0.46486119999999997</v>
      </c>
      <c r="S69" s="325">
        <v>-0.45015080000000002</v>
      </c>
      <c r="T69" s="325">
        <v>-1.575728</v>
      </c>
      <c r="U69" s="322"/>
      <c r="V69" s="325">
        <f t="shared" si="0"/>
        <v>0.5</v>
      </c>
      <c r="W69" s="325">
        <v>2.6206649999999776</v>
      </c>
      <c r="X69" s="325">
        <v>0</v>
      </c>
      <c r="Y69" s="325">
        <v>2.1269849999999701E-2</v>
      </c>
      <c r="Z69" s="325">
        <f t="shared" si="1"/>
        <v>2.1269849999999701</v>
      </c>
    </row>
    <row r="70" spans="15:26">
      <c r="O70" s="322"/>
      <c r="P70" s="322" t="s">
        <v>667</v>
      </c>
      <c r="Q70" s="325">
        <v>1.6123609999999999</v>
      </c>
      <c r="R70" s="325">
        <v>0.43093290000000001</v>
      </c>
      <c r="S70" s="325">
        <v>-0.50200560000000005</v>
      </c>
      <c r="T70" s="325">
        <v>-1.541288</v>
      </c>
      <c r="U70" s="322"/>
      <c r="V70" s="325">
        <f t="shared" ref="V70:V133" si="2">(X70/6+1)/2</f>
        <v>0.5</v>
      </c>
      <c r="W70" s="325">
        <v>2.3859709999999978</v>
      </c>
      <c r="X70" s="325">
        <v>0</v>
      </c>
      <c r="Y70" s="325">
        <v>1.8286209999999858E-2</v>
      </c>
      <c r="Z70" s="325">
        <f t="shared" ref="Z70:Z133" si="3">Y70*100</f>
        <v>1.8286209999999858</v>
      </c>
    </row>
    <row r="71" spans="15:26">
      <c r="O71" s="322"/>
      <c r="P71" s="322" t="s">
        <v>668</v>
      </c>
      <c r="Q71" s="325">
        <v>1.722996</v>
      </c>
      <c r="R71" s="325">
        <v>0.45271420000000001</v>
      </c>
      <c r="S71" s="325">
        <v>-0.53718790000000005</v>
      </c>
      <c r="T71" s="325">
        <v>-1.638533</v>
      </c>
      <c r="U71" s="322"/>
      <c r="V71" s="325">
        <f t="shared" si="2"/>
        <v>0.5</v>
      </c>
      <c r="W71" s="325">
        <v>2.5238819999999773</v>
      </c>
      <c r="X71" s="325">
        <v>0</v>
      </c>
      <c r="Y71" s="325">
        <v>1.9516459999999736E-2</v>
      </c>
      <c r="Z71" s="325">
        <f t="shared" si="3"/>
        <v>1.9516459999999736</v>
      </c>
    </row>
    <row r="72" spans="15:26">
      <c r="O72" s="322"/>
      <c r="P72" s="322" t="s">
        <v>669</v>
      </c>
      <c r="Q72" s="325">
        <v>1.759606</v>
      </c>
      <c r="R72" s="325">
        <v>0.45500439999999998</v>
      </c>
      <c r="S72" s="325">
        <v>-0.54704070000000005</v>
      </c>
      <c r="T72" s="325">
        <v>-1.667591</v>
      </c>
      <c r="U72" s="322"/>
      <c r="V72" s="325">
        <f t="shared" si="2"/>
        <v>0.5</v>
      </c>
      <c r="W72" s="325">
        <v>2.5414014999999957</v>
      </c>
      <c r="X72" s="325">
        <v>0</v>
      </c>
      <c r="Y72" s="325">
        <v>1.949075499999986E-2</v>
      </c>
      <c r="Z72" s="325">
        <f t="shared" si="3"/>
        <v>1.949075499999986</v>
      </c>
    </row>
    <row r="73" spans="15:26">
      <c r="O73" s="322"/>
      <c r="P73" s="322" t="s">
        <v>670</v>
      </c>
      <c r="Q73" s="325">
        <v>1.8538920000000001</v>
      </c>
      <c r="R73" s="325">
        <v>0.42714629999999998</v>
      </c>
      <c r="S73" s="325">
        <v>-0.55968359999999995</v>
      </c>
      <c r="T73" s="325">
        <v>-1.721365</v>
      </c>
      <c r="U73" s="322"/>
      <c r="V73" s="325">
        <f t="shared" si="2"/>
        <v>0.5</v>
      </c>
      <c r="W73" s="325">
        <v>2.7257580000000114</v>
      </c>
      <c r="X73" s="325">
        <v>0</v>
      </c>
      <c r="Y73" s="325">
        <v>2.1356780000000075E-2</v>
      </c>
      <c r="Z73" s="325">
        <f t="shared" si="3"/>
        <v>2.1356780000000075</v>
      </c>
    </row>
    <row r="74" spans="15:26">
      <c r="O74" s="322"/>
      <c r="P74" s="322" t="s">
        <v>671</v>
      </c>
      <c r="Q74" s="325">
        <v>1.957311</v>
      </c>
      <c r="R74" s="325">
        <v>0.42023389999999999</v>
      </c>
      <c r="S74" s="325">
        <v>-0.58516539999999995</v>
      </c>
      <c r="T74" s="325">
        <v>-1.7924009999999999</v>
      </c>
      <c r="U74" s="322"/>
      <c r="V74" s="325">
        <f t="shared" si="2"/>
        <v>0.5</v>
      </c>
      <c r="W74" s="325">
        <v>2.9373940000000154</v>
      </c>
      <c r="X74" s="325">
        <v>0</v>
      </c>
      <c r="Y74" s="325">
        <v>2.3804120000000095E-2</v>
      </c>
      <c r="Z74" s="325">
        <f t="shared" si="3"/>
        <v>2.3804120000000095</v>
      </c>
    </row>
    <row r="75" spans="15:26">
      <c r="O75" s="322"/>
      <c r="P75" s="322" t="s">
        <v>672</v>
      </c>
      <c r="Q75" s="325">
        <v>1.939206</v>
      </c>
      <c r="R75" s="325">
        <v>0.34719359999999999</v>
      </c>
      <c r="S75" s="325">
        <v>-0.64303440000000001</v>
      </c>
      <c r="T75" s="325">
        <v>-1.6433439999999999</v>
      </c>
      <c r="U75" s="322"/>
      <c r="V75" s="325">
        <f t="shared" si="2"/>
        <v>0.5</v>
      </c>
      <c r="W75" s="325">
        <v>2.4956624999999955</v>
      </c>
      <c r="X75" s="325">
        <v>0</v>
      </c>
      <c r="Y75" s="325">
        <v>1.8248905000000093E-2</v>
      </c>
      <c r="Z75" s="325">
        <f t="shared" si="3"/>
        <v>1.8248905000000093</v>
      </c>
    </row>
    <row r="76" spans="15:26">
      <c r="O76" s="322"/>
      <c r="P76" s="322" t="s">
        <v>673</v>
      </c>
      <c r="Q76" s="325">
        <v>1.952952</v>
      </c>
      <c r="R76" s="325">
        <v>0.33551059999999999</v>
      </c>
      <c r="S76" s="325">
        <v>-0.65636280000000002</v>
      </c>
      <c r="T76" s="325">
        <v>-1.6321110000000001</v>
      </c>
      <c r="U76" s="322"/>
      <c r="V76" s="325">
        <f t="shared" si="2"/>
        <v>0.5</v>
      </c>
      <c r="W76" s="325">
        <v>2.4008744999999942</v>
      </c>
      <c r="X76" s="325">
        <v>0</v>
      </c>
      <c r="Y76" s="325">
        <v>1.6559144999999997E-2</v>
      </c>
      <c r="Z76" s="325">
        <f t="shared" si="3"/>
        <v>1.6559144999999997</v>
      </c>
    </row>
    <row r="77" spans="15:26">
      <c r="O77" s="322"/>
      <c r="P77" s="322" t="s">
        <v>674</v>
      </c>
      <c r="Q77" s="325">
        <v>2.0372970000000001</v>
      </c>
      <c r="R77" s="325">
        <v>0.3405455</v>
      </c>
      <c r="S77" s="325">
        <v>-0.67040820000000001</v>
      </c>
      <c r="T77" s="325">
        <v>-1.7074450000000001</v>
      </c>
      <c r="U77" s="322"/>
      <c r="V77" s="325">
        <f t="shared" si="2"/>
        <v>0.5</v>
      </c>
      <c r="W77" s="325">
        <v>2.492937499999992</v>
      </c>
      <c r="X77" s="325">
        <v>0</v>
      </c>
      <c r="Y77" s="325">
        <v>1.7482175000000044E-2</v>
      </c>
      <c r="Z77" s="325">
        <f t="shared" si="3"/>
        <v>1.7482175000000044</v>
      </c>
    </row>
    <row r="78" spans="15:26">
      <c r="O78" s="322"/>
      <c r="P78" s="322">
        <v>2004</v>
      </c>
      <c r="Q78" s="325">
        <v>2.0469599999999999</v>
      </c>
      <c r="R78" s="325">
        <v>0.37830419999999998</v>
      </c>
      <c r="S78" s="325">
        <v>-0.64171869999999998</v>
      </c>
      <c r="T78" s="325">
        <v>-1.7835449999999999</v>
      </c>
      <c r="U78" s="322"/>
      <c r="V78" s="325">
        <f t="shared" si="2"/>
        <v>0.5</v>
      </c>
      <c r="W78" s="325">
        <v>2.7133110000000293</v>
      </c>
      <c r="X78" s="325">
        <v>0</v>
      </c>
      <c r="Y78" s="325">
        <v>1.9877150000000121E-2</v>
      </c>
      <c r="Z78" s="325">
        <f t="shared" si="3"/>
        <v>1.9877150000000121</v>
      </c>
    </row>
    <row r="79" spans="15:26">
      <c r="O79" s="322"/>
      <c r="P79" s="322" t="s">
        <v>675</v>
      </c>
      <c r="Q79" s="325">
        <v>2.0375209999999999</v>
      </c>
      <c r="R79" s="325">
        <v>0.40597109999999997</v>
      </c>
      <c r="S79" s="325">
        <v>-0.63305290000000003</v>
      </c>
      <c r="T79" s="325">
        <v>-1.8104389999999999</v>
      </c>
      <c r="U79" s="322"/>
      <c r="V79" s="325">
        <f t="shared" si="2"/>
        <v>0.5</v>
      </c>
      <c r="W79" s="325">
        <v>2.8511684999999787</v>
      </c>
      <c r="X79" s="325">
        <v>0</v>
      </c>
      <c r="Y79" s="325">
        <v>2.1435704999999805E-2</v>
      </c>
      <c r="Z79" s="325">
        <f t="shared" si="3"/>
        <v>2.1435704999999805</v>
      </c>
    </row>
    <row r="80" spans="15:26">
      <c r="O80" s="322"/>
      <c r="P80" s="322" t="s">
        <v>676</v>
      </c>
      <c r="Q80" s="325">
        <v>2.0069430000000001</v>
      </c>
      <c r="R80" s="325">
        <v>0.41136780000000001</v>
      </c>
      <c r="S80" s="325">
        <v>-0.63122929999999999</v>
      </c>
      <c r="T80" s="325">
        <v>-1.7870820000000001</v>
      </c>
      <c r="U80" s="322"/>
      <c r="V80" s="325">
        <f t="shared" si="2"/>
        <v>0.5</v>
      </c>
      <c r="W80" s="325">
        <v>2.9340465000000426</v>
      </c>
      <c r="X80" s="325">
        <v>0</v>
      </c>
      <c r="Y80" s="325">
        <v>2.2875465000000261E-2</v>
      </c>
      <c r="Z80" s="325">
        <f t="shared" si="3"/>
        <v>2.2875465000000261</v>
      </c>
    </row>
    <row r="81" spans="15:26">
      <c r="O81" s="322"/>
      <c r="P81" s="322" t="s">
        <v>677</v>
      </c>
      <c r="Q81" s="325">
        <v>1.999425</v>
      </c>
      <c r="R81" s="325">
        <v>0.4390425</v>
      </c>
      <c r="S81" s="325">
        <v>-0.62368049999999997</v>
      </c>
      <c r="T81" s="325">
        <v>-1.814808</v>
      </c>
      <c r="U81" s="322"/>
      <c r="V81" s="325">
        <f t="shared" si="2"/>
        <v>0.5</v>
      </c>
      <c r="W81" s="325">
        <v>3.0532275000000109</v>
      </c>
      <c r="X81" s="325">
        <v>0</v>
      </c>
      <c r="Y81" s="325">
        <v>2.4415175000000122E-2</v>
      </c>
      <c r="Z81" s="325">
        <f t="shared" si="3"/>
        <v>2.4415175000000122</v>
      </c>
    </row>
    <row r="82" spans="15:26">
      <c r="O82" s="322"/>
      <c r="P82" s="322" t="s">
        <v>678</v>
      </c>
      <c r="Q82" s="325">
        <v>2.09083</v>
      </c>
      <c r="R82" s="325">
        <v>0.51520569999999999</v>
      </c>
      <c r="S82" s="325">
        <v>-0.59466770000000002</v>
      </c>
      <c r="T82" s="325">
        <v>-2.011368</v>
      </c>
      <c r="U82" s="322"/>
      <c r="V82" s="325">
        <f t="shared" si="2"/>
        <v>0.5</v>
      </c>
      <c r="W82" s="325">
        <v>3.6246784999999893</v>
      </c>
      <c r="X82" s="325">
        <v>0</v>
      </c>
      <c r="Y82" s="325">
        <v>3.1561245000000016E-2</v>
      </c>
      <c r="Z82" s="325">
        <f t="shared" si="3"/>
        <v>3.1561245000000016</v>
      </c>
    </row>
    <row r="83" spans="15:26">
      <c r="O83" s="322"/>
      <c r="P83" s="322" t="s">
        <v>679</v>
      </c>
      <c r="Q83" s="325">
        <v>2.1892909999999999</v>
      </c>
      <c r="R83" s="325">
        <v>0.55363980000000002</v>
      </c>
      <c r="S83" s="325">
        <v>-0.60951529999999998</v>
      </c>
      <c r="T83" s="325">
        <v>-2.1334360000000001</v>
      </c>
      <c r="U83" s="322"/>
      <c r="V83" s="325">
        <f t="shared" si="2"/>
        <v>0.5</v>
      </c>
      <c r="W83" s="325">
        <v>3.8710014999999931</v>
      </c>
      <c r="X83" s="325">
        <v>0</v>
      </c>
      <c r="Y83" s="325">
        <v>3.382599499999972E-2</v>
      </c>
      <c r="Z83" s="325">
        <f t="shared" si="3"/>
        <v>3.382599499999972</v>
      </c>
    </row>
    <row r="84" spans="15:26">
      <c r="O84" s="322"/>
      <c r="P84" s="322" t="s">
        <v>680</v>
      </c>
      <c r="Q84" s="325">
        <v>2.2295219999999998</v>
      </c>
      <c r="R84" s="325">
        <v>0.54266099999999995</v>
      </c>
      <c r="S84" s="325">
        <v>-0.63975660000000001</v>
      </c>
      <c r="T84" s="325">
        <v>-2.132406</v>
      </c>
      <c r="U84" s="322"/>
      <c r="V84" s="325">
        <f t="shared" si="2"/>
        <v>0.5</v>
      </c>
      <c r="W84" s="325">
        <v>3.7246760000000156</v>
      </c>
      <c r="X84" s="325">
        <v>0</v>
      </c>
      <c r="Y84" s="325">
        <v>3.2259580000000287E-2</v>
      </c>
      <c r="Z84" s="325">
        <f t="shared" si="3"/>
        <v>3.2259580000000287</v>
      </c>
    </row>
    <row r="85" spans="15:26">
      <c r="O85" s="322"/>
      <c r="P85" s="322" t="s">
        <v>681</v>
      </c>
      <c r="Q85" s="325">
        <v>2.3356400000000002</v>
      </c>
      <c r="R85" s="325">
        <v>0.50380849999999999</v>
      </c>
      <c r="S85" s="325">
        <v>-0.69079659999999998</v>
      </c>
      <c r="T85" s="325">
        <v>-2.1486519999999998</v>
      </c>
      <c r="U85" s="322"/>
      <c r="V85" s="325">
        <f t="shared" si="2"/>
        <v>0.5</v>
      </c>
      <c r="W85" s="325">
        <v>3.6394169999999892</v>
      </c>
      <c r="X85" s="325">
        <v>0</v>
      </c>
      <c r="Y85" s="325">
        <v>3.1090070000000081E-2</v>
      </c>
      <c r="Z85" s="325">
        <f t="shared" si="3"/>
        <v>3.1090070000000081</v>
      </c>
    </row>
    <row r="86" spans="15:26">
      <c r="O86" s="322"/>
      <c r="P86" s="322" t="s">
        <v>682</v>
      </c>
      <c r="Q86" s="325">
        <v>2.3792409999999999</v>
      </c>
      <c r="R86" s="325">
        <v>0.46423750000000003</v>
      </c>
      <c r="S86" s="325">
        <v>-0.72952039999999996</v>
      </c>
      <c r="T86" s="325">
        <v>-2.1139790000000001</v>
      </c>
      <c r="U86" s="322"/>
      <c r="V86" s="325">
        <f t="shared" si="2"/>
        <v>0.5</v>
      </c>
      <c r="W86" s="325">
        <v>3.4917454999999986</v>
      </c>
      <c r="X86" s="325">
        <v>0</v>
      </c>
      <c r="Y86" s="325">
        <v>2.9251914999999906E-2</v>
      </c>
      <c r="Z86" s="325">
        <f t="shared" si="3"/>
        <v>2.9251914999999906</v>
      </c>
    </row>
    <row r="87" spans="15:26">
      <c r="O87" s="322"/>
      <c r="P87" s="322" t="s">
        <v>683</v>
      </c>
      <c r="Q87" s="325">
        <v>2.3073779999999999</v>
      </c>
      <c r="R87" s="325">
        <v>0.4665744</v>
      </c>
      <c r="S87" s="325">
        <v>-0.68442570000000003</v>
      </c>
      <c r="T87" s="325">
        <v>-2.0895269999999999</v>
      </c>
      <c r="U87" s="322"/>
      <c r="V87" s="325">
        <f t="shared" si="2"/>
        <v>0.5</v>
      </c>
      <c r="W87" s="325">
        <v>3.6074160000000077</v>
      </c>
      <c r="X87" s="325">
        <v>0</v>
      </c>
      <c r="Y87" s="325">
        <v>3.1237240000000055E-2</v>
      </c>
      <c r="Z87" s="325">
        <f t="shared" si="3"/>
        <v>3.1237240000000055</v>
      </c>
    </row>
    <row r="88" spans="15:26">
      <c r="O88" s="322"/>
      <c r="P88" s="322" t="s">
        <v>684</v>
      </c>
      <c r="Q88" s="325">
        <v>2.3006509999999998</v>
      </c>
      <c r="R88" s="325">
        <v>0.4777497</v>
      </c>
      <c r="S88" s="325">
        <v>-0.66875459999999998</v>
      </c>
      <c r="T88" s="325">
        <v>-2.1096360000000001</v>
      </c>
      <c r="U88" s="322"/>
      <c r="V88" s="325">
        <f t="shared" si="2"/>
        <v>0.5</v>
      </c>
      <c r="W88" s="325">
        <v>3.6522304999999866</v>
      </c>
      <c r="X88" s="325">
        <v>0</v>
      </c>
      <c r="Y88" s="325">
        <v>3.1213084999999641E-2</v>
      </c>
      <c r="Z88" s="325">
        <f t="shared" si="3"/>
        <v>3.1213084999999641</v>
      </c>
    </row>
    <row r="89" spans="15:26">
      <c r="O89" s="322"/>
      <c r="P89" s="322" t="s">
        <v>685</v>
      </c>
      <c r="Q89" s="325">
        <v>2.3424510000000001</v>
      </c>
      <c r="R89" s="325">
        <v>0.47510419999999998</v>
      </c>
      <c r="S89" s="325">
        <v>-0.68242689999999995</v>
      </c>
      <c r="T89" s="325">
        <v>-2.1351179999999998</v>
      </c>
      <c r="U89" s="322"/>
      <c r="V89" s="325">
        <f t="shared" si="2"/>
        <v>0.5</v>
      </c>
      <c r="W89" s="325">
        <v>3.5644690000000034</v>
      </c>
      <c r="X89" s="325">
        <v>0</v>
      </c>
      <c r="Y89" s="325">
        <v>2.9426289999999966E-2</v>
      </c>
      <c r="Z89" s="325">
        <f t="shared" si="3"/>
        <v>2.9426289999999966</v>
      </c>
    </row>
    <row r="90" spans="15:26">
      <c r="O90" s="322"/>
      <c r="P90" s="322">
        <v>2005</v>
      </c>
      <c r="Q90" s="325">
        <v>2.3444180000000001</v>
      </c>
      <c r="R90" s="325">
        <v>0.47805320000000001</v>
      </c>
      <c r="S90" s="325">
        <v>-0.68708329999999995</v>
      </c>
      <c r="T90" s="325">
        <v>-2.1353770000000001</v>
      </c>
      <c r="U90" s="322"/>
      <c r="V90" s="325">
        <f t="shared" si="2"/>
        <v>0.5</v>
      </c>
      <c r="W90" s="325">
        <v>3.5139455000000153</v>
      </c>
      <c r="X90" s="325">
        <v>0</v>
      </c>
      <c r="Y90" s="325">
        <v>2.8296115000000066E-2</v>
      </c>
      <c r="Z90" s="325">
        <f t="shared" si="3"/>
        <v>2.8296115000000066</v>
      </c>
    </row>
    <row r="91" spans="15:26">
      <c r="O91" s="322"/>
      <c r="P91" s="322" t="s">
        <v>686</v>
      </c>
      <c r="Q91" s="325">
        <v>2.318559</v>
      </c>
      <c r="R91" s="325">
        <v>0.49196909999999999</v>
      </c>
      <c r="S91" s="325">
        <v>-0.67016290000000001</v>
      </c>
      <c r="T91" s="325">
        <v>-2.1403449999999999</v>
      </c>
      <c r="U91" s="322"/>
      <c r="V91" s="325">
        <f t="shared" si="2"/>
        <v>0.5</v>
      </c>
      <c r="W91" s="325">
        <v>3.620800500000021</v>
      </c>
      <c r="X91" s="325">
        <v>0</v>
      </c>
      <c r="Y91" s="325">
        <v>2.9781865000000129E-2</v>
      </c>
      <c r="Z91" s="325">
        <f t="shared" si="3"/>
        <v>2.9781865000000129</v>
      </c>
    </row>
    <row r="92" spans="15:26">
      <c r="O92" s="322"/>
      <c r="P92" s="322" t="s">
        <v>687</v>
      </c>
      <c r="Q92" s="325">
        <v>2.2833459999999999</v>
      </c>
      <c r="R92" s="325">
        <v>0.50518419999999997</v>
      </c>
      <c r="S92" s="325">
        <v>-0.6560783</v>
      </c>
      <c r="T92" s="325">
        <v>-2.1324420000000002</v>
      </c>
      <c r="U92" s="322"/>
      <c r="V92" s="325">
        <f t="shared" si="2"/>
        <v>0.5</v>
      </c>
      <c r="W92" s="325">
        <v>3.7758485000000119</v>
      </c>
      <c r="X92" s="325">
        <v>0</v>
      </c>
      <c r="Y92" s="325">
        <v>3.1777385000000047E-2</v>
      </c>
      <c r="Z92" s="325">
        <f t="shared" si="3"/>
        <v>3.1777385000000047</v>
      </c>
    </row>
    <row r="93" spans="15:26">
      <c r="O93" s="322"/>
      <c r="P93" s="322" t="s">
        <v>688</v>
      </c>
      <c r="Q93" s="325">
        <v>2.300424</v>
      </c>
      <c r="R93" s="325">
        <v>0.57411239999999997</v>
      </c>
      <c r="S93" s="325">
        <v>-0.6141451</v>
      </c>
      <c r="T93" s="325">
        <v>-2.2604109999999999</v>
      </c>
      <c r="U93" s="322"/>
      <c r="V93" s="325">
        <f t="shared" si="2"/>
        <v>0.5</v>
      </c>
      <c r="W93" s="325">
        <v>4.3008549999999701</v>
      </c>
      <c r="X93" s="325">
        <v>0</v>
      </c>
      <c r="Y93" s="325">
        <v>3.8545869999999871E-2</v>
      </c>
      <c r="Z93" s="325">
        <f t="shared" si="3"/>
        <v>3.8545869999999871</v>
      </c>
    </row>
    <row r="94" spans="15:26">
      <c r="O94" s="322"/>
      <c r="P94" s="322" t="s">
        <v>689</v>
      </c>
      <c r="Q94" s="325">
        <v>2.355264</v>
      </c>
      <c r="R94" s="325">
        <v>0.57177750000000005</v>
      </c>
      <c r="S94" s="325">
        <v>-0.64761139999999995</v>
      </c>
      <c r="T94" s="325">
        <v>-2.2794400000000001</v>
      </c>
      <c r="U94" s="322"/>
      <c r="V94" s="325">
        <f t="shared" si="2"/>
        <v>0.5</v>
      </c>
      <c r="W94" s="325">
        <v>4.2283064999999675</v>
      </c>
      <c r="X94" s="325">
        <v>0</v>
      </c>
      <c r="Y94" s="325">
        <v>3.7147744999999732E-2</v>
      </c>
      <c r="Z94" s="325">
        <f t="shared" si="3"/>
        <v>3.7147744999999732</v>
      </c>
    </row>
    <row r="95" spans="15:26">
      <c r="O95" s="322"/>
      <c r="P95" s="322" t="s">
        <v>690</v>
      </c>
      <c r="Q95" s="325">
        <v>2.4265859999999999</v>
      </c>
      <c r="R95" s="325">
        <v>0.59359839999999997</v>
      </c>
      <c r="S95" s="325">
        <v>-0.67127309999999996</v>
      </c>
      <c r="T95" s="325">
        <v>-2.3489209999999998</v>
      </c>
      <c r="U95" s="322"/>
      <c r="V95" s="325">
        <f t="shared" si="2"/>
        <v>0.5</v>
      </c>
      <c r="W95" s="325">
        <v>4.2864339999999945</v>
      </c>
      <c r="X95" s="325">
        <v>0</v>
      </c>
      <c r="Y95" s="325">
        <v>3.7422839999999846E-2</v>
      </c>
      <c r="Z95" s="325">
        <f t="shared" si="3"/>
        <v>3.7422839999999846</v>
      </c>
    </row>
    <row r="96" spans="15:26">
      <c r="O96" s="322"/>
      <c r="P96" s="322" t="s">
        <v>691</v>
      </c>
      <c r="Q96" s="325">
        <v>2.462745</v>
      </c>
      <c r="R96" s="325">
        <v>0.65490190000000004</v>
      </c>
      <c r="S96" s="325">
        <v>-0.65222449999999998</v>
      </c>
      <c r="T96" s="325">
        <v>-2.4654419999999999</v>
      </c>
      <c r="U96" s="322"/>
      <c r="V96" s="325">
        <f t="shared" si="2"/>
        <v>0.5</v>
      </c>
      <c r="W96" s="325">
        <v>4.6169200000000021</v>
      </c>
      <c r="X96" s="325">
        <v>0</v>
      </c>
      <c r="Y96" s="325">
        <v>4.1562179999999893E-2</v>
      </c>
      <c r="Z96" s="325">
        <f t="shared" si="3"/>
        <v>4.1562179999999893</v>
      </c>
    </row>
    <row r="97" spans="15:26">
      <c r="O97" s="322"/>
      <c r="P97" s="322" t="s">
        <v>692</v>
      </c>
      <c r="Q97" s="325">
        <v>2.534373</v>
      </c>
      <c r="R97" s="325">
        <v>0.67317930000000004</v>
      </c>
      <c r="S97" s="325">
        <v>-0.64750240000000003</v>
      </c>
      <c r="T97" s="325">
        <v>-2.56006</v>
      </c>
      <c r="U97" s="322"/>
      <c r="V97" s="325">
        <f t="shared" si="2"/>
        <v>0.5</v>
      </c>
      <c r="W97" s="325">
        <v>4.9361595000000369</v>
      </c>
      <c r="X97" s="325">
        <v>0</v>
      </c>
      <c r="Y97" s="325">
        <v>4.5607595000000334E-2</v>
      </c>
      <c r="Z97" s="325">
        <f t="shared" si="3"/>
        <v>4.5607595000000334</v>
      </c>
    </row>
    <row r="98" spans="15:26">
      <c r="O98" s="322"/>
      <c r="P98" s="322" t="s">
        <v>693</v>
      </c>
      <c r="Q98" s="325">
        <v>2.6269339999999999</v>
      </c>
      <c r="R98" s="325">
        <v>0.75648329999999997</v>
      </c>
      <c r="S98" s="325">
        <v>-0.59206150000000002</v>
      </c>
      <c r="T98" s="325">
        <v>-2.7913559999999999</v>
      </c>
      <c r="U98" s="322"/>
      <c r="V98" s="325">
        <f t="shared" si="2"/>
        <v>0.5</v>
      </c>
      <c r="W98" s="325">
        <v>5.9248695000000184</v>
      </c>
      <c r="X98" s="325">
        <v>0</v>
      </c>
      <c r="Y98" s="325">
        <v>5.8088395000000181E-2</v>
      </c>
      <c r="Z98" s="325">
        <f t="shared" si="3"/>
        <v>5.8088395000000181</v>
      </c>
    </row>
    <row r="99" spans="15:26">
      <c r="O99" s="322"/>
      <c r="P99" s="322" t="s">
        <v>694</v>
      </c>
      <c r="Q99" s="325">
        <v>2.605845</v>
      </c>
      <c r="R99" s="325">
        <v>0.72525459999999997</v>
      </c>
      <c r="S99" s="325">
        <v>-0.63363270000000005</v>
      </c>
      <c r="T99" s="325">
        <v>-2.6974670000000001</v>
      </c>
      <c r="U99" s="322"/>
      <c r="V99" s="325">
        <f t="shared" si="2"/>
        <v>0.5</v>
      </c>
      <c r="W99" s="325">
        <v>5.6210635000000009</v>
      </c>
      <c r="X99" s="325">
        <v>0</v>
      </c>
      <c r="Y99" s="325">
        <v>5.3509554999999986E-2</v>
      </c>
      <c r="Z99" s="325">
        <f t="shared" si="3"/>
        <v>5.3509554999999986</v>
      </c>
    </row>
    <row r="100" spans="15:26">
      <c r="O100" s="322"/>
      <c r="P100" s="322" t="s">
        <v>695</v>
      </c>
      <c r="Q100" s="325">
        <v>2.6796509999999998</v>
      </c>
      <c r="R100" s="325">
        <v>0.63920359999999998</v>
      </c>
      <c r="S100" s="325">
        <v>-0.75312599999999996</v>
      </c>
      <c r="T100" s="325">
        <v>-2.5657480000000001</v>
      </c>
      <c r="U100" s="322"/>
      <c r="V100" s="325">
        <f t="shared" si="2"/>
        <v>0.5</v>
      </c>
      <c r="W100" s="325">
        <v>4.8139064999999981</v>
      </c>
      <c r="X100" s="325">
        <v>0</v>
      </c>
      <c r="Y100" s="325">
        <v>4.2473605000000303E-2</v>
      </c>
      <c r="Z100" s="325">
        <f t="shared" si="3"/>
        <v>4.2473605000000303</v>
      </c>
    </row>
    <row r="101" spans="15:26">
      <c r="O101" s="322"/>
      <c r="P101" s="322" t="s">
        <v>696</v>
      </c>
      <c r="Q101" s="325">
        <v>2.7032159999999998</v>
      </c>
      <c r="R101" s="325">
        <v>0.60777530000000002</v>
      </c>
      <c r="S101" s="325">
        <v>-0.77609910000000004</v>
      </c>
      <c r="T101" s="325">
        <v>-2.5348920000000001</v>
      </c>
      <c r="U101" s="322"/>
      <c r="V101" s="325">
        <f t="shared" si="2"/>
        <v>0.5</v>
      </c>
      <c r="W101" s="325">
        <v>4.5731879999999947</v>
      </c>
      <c r="X101" s="325">
        <v>0</v>
      </c>
      <c r="Y101" s="325">
        <v>3.9425719999999886E-2</v>
      </c>
      <c r="Z101" s="325">
        <f t="shared" si="3"/>
        <v>3.9425719999999886</v>
      </c>
    </row>
    <row r="102" spans="15:26">
      <c r="O102" s="322"/>
      <c r="P102" s="322">
        <v>2006</v>
      </c>
      <c r="Q102" s="325">
        <v>2.7655889999999999</v>
      </c>
      <c r="R102" s="325">
        <v>0.66361099999999995</v>
      </c>
      <c r="S102" s="325">
        <v>-0.76205849999999997</v>
      </c>
      <c r="T102" s="325">
        <v>-2.6671420000000001</v>
      </c>
      <c r="U102" s="322"/>
      <c r="V102" s="325">
        <f t="shared" si="2"/>
        <v>0.5</v>
      </c>
      <c r="W102" s="325">
        <v>4.9762920000000044</v>
      </c>
      <c r="X102" s="325">
        <v>0</v>
      </c>
      <c r="Y102" s="325">
        <v>4.3974760000000002E-2</v>
      </c>
      <c r="Z102" s="325">
        <f t="shared" si="3"/>
        <v>4.3974760000000002</v>
      </c>
    </row>
    <row r="103" spans="15:26">
      <c r="O103" s="322"/>
      <c r="P103" s="322" t="s">
        <v>697</v>
      </c>
      <c r="Q103" s="325">
        <v>2.7352599999999998</v>
      </c>
      <c r="R103" s="325">
        <v>0.65010420000000002</v>
      </c>
      <c r="S103" s="325">
        <v>-0.76278780000000002</v>
      </c>
      <c r="T103" s="325">
        <v>-2.6225960000000001</v>
      </c>
      <c r="U103" s="322"/>
      <c r="V103" s="325">
        <f t="shared" si="2"/>
        <v>0.5</v>
      </c>
      <c r="W103" s="325">
        <v>4.9028755000000368</v>
      </c>
      <c r="X103" s="325">
        <v>0</v>
      </c>
      <c r="Y103" s="325">
        <v>4.3110535000000283E-2</v>
      </c>
      <c r="Z103" s="325">
        <f t="shared" si="3"/>
        <v>4.3110535000000283</v>
      </c>
    </row>
    <row r="104" spans="15:26">
      <c r="O104" s="322"/>
      <c r="P104" s="322" t="s">
        <v>698</v>
      </c>
      <c r="Q104" s="325">
        <v>2.721873</v>
      </c>
      <c r="R104" s="325">
        <v>0.65711580000000003</v>
      </c>
      <c r="S104" s="325">
        <v>-0.7593048</v>
      </c>
      <c r="T104" s="325">
        <v>-2.6196839999999999</v>
      </c>
      <c r="U104" s="322"/>
      <c r="V104" s="325">
        <f t="shared" si="2"/>
        <v>0.5</v>
      </c>
      <c r="W104" s="325">
        <v>5.0184164999999892</v>
      </c>
      <c r="X104" s="325">
        <v>0</v>
      </c>
      <c r="Y104" s="325">
        <v>4.4533324999999735E-2</v>
      </c>
      <c r="Z104" s="325">
        <f t="shared" si="3"/>
        <v>4.4533324999999735</v>
      </c>
    </row>
    <row r="105" spans="15:26">
      <c r="O105" s="322"/>
      <c r="P105" s="322" t="s">
        <v>699</v>
      </c>
      <c r="Q105" s="325">
        <v>2.6500859999999999</v>
      </c>
      <c r="R105" s="325">
        <v>0.72154600000000002</v>
      </c>
      <c r="S105" s="325">
        <v>-0.67919149999999995</v>
      </c>
      <c r="T105" s="325">
        <v>-2.6924299999999999</v>
      </c>
      <c r="U105" s="322"/>
      <c r="V105" s="325">
        <f t="shared" si="2"/>
        <v>0.5</v>
      </c>
      <c r="W105" s="325">
        <v>5.5346795000000171</v>
      </c>
      <c r="X105" s="325">
        <v>0</v>
      </c>
      <c r="Y105" s="325">
        <v>5.0772055000000371E-2</v>
      </c>
      <c r="Z105" s="325">
        <f t="shared" si="3"/>
        <v>5.0772055000000371</v>
      </c>
    </row>
    <row r="106" spans="15:26">
      <c r="O106" s="322"/>
      <c r="P106" s="322" t="s">
        <v>700</v>
      </c>
      <c r="Q106" s="325">
        <v>2.6640069999999998</v>
      </c>
      <c r="R106" s="325">
        <v>0.76370899999999997</v>
      </c>
      <c r="S106" s="325">
        <v>-0.64802499999999996</v>
      </c>
      <c r="T106" s="325">
        <v>-2.7797100000000001</v>
      </c>
      <c r="U106" s="322"/>
      <c r="V106" s="325">
        <f t="shared" si="2"/>
        <v>0.5</v>
      </c>
      <c r="W106" s="325">
        <v>5.8942380000000405</v>
      </c>
      <c r="X106" s="325">
        <v>0</v>
      </c>
      <c r="Y106" s="325">
        <v>5.4950080000000456E-2</v>
      </c>
      <c r="Z106" s="325">
        <f t="shared" si="3"/>
        <v>5.4950080000000456</v>
      </c>
    </row>
    <row r="107" spans="15:26">
      <c r="O107" s="322"/>
      <c r="P107" s="322" t="s">
        <v>701</v>
      </c>
      <c r="Q107" s="325">
        <v>2.7592479999999999</v>
      </c>
      <c r="R107" s="325">
        <v>0.77809919999999999</v>
      </c>
      <c r="S107" s="325">
        <v>-0.68261159999999999</v>
      </c>
      <c r="T107" s="325">
        <v>-2.8547549999999999</v>
      </c>
      <c r="U107" s="322"/>
      <c r="V107" s="325">
        <f t="shared" si="2"/>
        <v>0.5</v>
      </c>
      <c r="W107" s="325">
        <v>5.9722469999999639</v>
      </c>
      <c r="X107" s="325">
        <v>0</v>
      </c>
      <c r="Y107" s="325">
        <v>5.5699689999999746E-2</v>
      </c>
      <c r="Z107" s="325">
        <f t="shared" si="3"/>
        <v>5.5699689999999746</v>
      </c>
    </row>
    <row r="108" spans="15:26">
      <c r="O108" s="322"/>
      <c r="P108" s="322" t="s">
        <v>702</v>
      </c>
      <c r="Q108" s="325">
        <v>2.7319460000000002</v>
      </c>
      <c r="R108" s="325">
        <v>0.79588449999999999</v>
      </c>
      <c r="S108" s="325">
        <v>-0.65238549999999995</v>
      </c>
      <c r="T108" s="325">
        <v>-2.875464</v>
      </c>
      <c r="U108" s="322"/>
      <c r="V108" s="325">
        <f t="shared" si="2"/>
        <v>0.5</v>
      </c>
      <c r="W108" s="325">
        <v>6.0619465000000039</v>
      </c>
      <c r="X108" s="325">
        <v>0</v>
      </c>
      <c r="Y108" s="325">
        <v>5.6441204999999828E-2</v>
      </c>
      <c r="Z108" s="325">
        <f t="shared" si="3"/>
        <v>5.6441204999999828</v>
      </c>
    </row>
    <row r="109" spans="15:26">
      <c r="O109" s="322"/>
      <c r="P109" s="322" t="s">
        <v>703</v>
      </c>
      <c r="Q109" s="325">
        <v>2.8014450000000002</v>
      </c>
      <c r="R109" s="325">
        <v>0.76027330000000004</v>
      </c>
      <c r="S109" s="325">
        <v>-0.6957468</v>
      </c>
      <c r="T109" s="325">
        <v>-2.865971</v>
      </c>
      <c r="U109" s="322"/>
      <c r="V109" s="325">
        <f t="shared" si="2"/>
        <v>0.5</v>
      </c>
      <c r="W109" s="325">
        <v>5.9319244999999743</v>
      </c>
      <c r="X109" s="325">
        <v>0</v>
      </c>
      <c r="Y109" s="325">
        <v>5.4751384999999653E-2</v>
      </c>
      <c r="Z109" s="325">
        <f t="shared" si="3"/>
        <v>5.4751384999999653</v>
      </c>
    </row>
    <row r="110" spans="15:26">
      <c r="O110" s="322"/>
      <c r="P110" s="322" t="s">
        <v>704</v>
      </c>
      <c r="Q110" s="325">
        <v>2.9550510000000001</v>
      </c>
      <c r="R110" s="325">
        <v>0.66616520000000001</v>
      </c>
      <c r="S110" s="325">
        <v>-0.84029350000000003</v>
      </c>
      <c r="T110" s="325">
        <v>-2.780913</v>
      </c>
      <c r="U110" s="322"/>
      <c r="V110" s="325">
        <f t="shared" si="2"/>
        <v>0.5</v>
      </c>
      <c r="W110" s="325">
        <v>5.2849189999999657</v>
      </c>
      <c r="X110" s="325">
        <v>0</v>
      </c>
      <c r="Y110" s="325">
        <v>4.7091529999999882E-2</v>
      </c>
      <c r="Z110" s="325">
        <f t="shared" si="3"/>
        <v>4.7091529999999882</v>
      </c>
    </row>
    <row r="111" spans="15:26">
      <c r="O111" s="322"/>
      <c r="P111" s="322" t="s">
        <v>705</v>
      </c>
      <c r="Q111" s="325">
        <v>2.9200970000000002</v>
      </c>
      <c r="R111" s="325">
        <v>0.55548379999999997</v>
      </c>
      <c r="S111" s="325">
        <v>-0.89842889999999997</v>
      </c>
      <c r="T111" s="325">
        <v>-2.5771329999999999</v>
      </c>
      <c r="U111" s="322"/>
      <c r="V111" s="325">
        <f t="shared" si="2"/>
        <v>0.5</v>
      </c>
      <c r="W111" s="325">
        <v>4.4922454999999806</v>
      </c>
      <c r="X111" s="325">
        <v>0</v>
      </c>
      <c r="Y111" s="325">
        <v>3.7217674999999728E-2</v>
      </c>
      <c r="Z111" s="325">
        <f t="shared" si="3"/>
        <v>3.7217674999999728</v>
      </c>
    </row>
    <row r="112" spans="15:26">
      <c r="O112" s="322"/>
      <c r="P112" s="322" t="s">
        <v>706</v>
      </c>
      <c r="Q112" s="325">
        <v>2.9390320000000001</v>
      </c>
      <c r="R112" s="325">
        <v>0.55192459999999999</v>
      </c>
      <c r="S112" s="325">
        <v>-0.90393100000000004</v>
      </c>
      <c r="T112" s="325">
        <v>-2.5870250000000001</v>
      </c>
      <c r="U112" s="322"/>
      <c r="V112" s="325">
        <f t="shared" si="2"/>
        <v>0.5</v>
      </c>
      <c r="W112" s="325">
        <v>4.484893000000012</v>
      </c>
      <c r="X112" s="325">
        <v>0</v>
      </c>
      <c r="Y112" s="325">
        <v>3.7088570000000098E-2</v>
      </c>
      <c r="Z112" s="325">
        <f t="shared" si="3"/>
        <v>3.7088570000000098</v>
      </c>
    </row>
    <row r="113" spans="15:26">
      <c r="O113" s="322"/>
      <c r="P113" s="322" t="s">
        <v>707</v>
      </c>
      <c r="Q113" s="325">
        <v>2.972013</v>
      </c>
      <c r="R113" s="325">
        <v>0.58693680000000004</v>
      </c>
      <c r="S113" s="325">
        <v>-0.88949990000000001</v>
      </c>
      <c r="T113" s="325">
        <v>-2.6694399999999998</v>
      </c>
      <c r="U113" s="322"/>
      <c r="V113" s="325">
        <f t="shared" si="2"/>
        <v>0.5</v>
      </c>
      <c r="W113" s="325">
        <v>4.7484525000000222</v>
      </c>
      <c r="X113" s="325">
        <v>0</v>
      </c>
      <c r="Y113" s="325">
        <v>4.039784500000021E-2</v>
      </c>
      <c r="Z113" s="325">
        <f t="shared" si="3"/>
        <v>4.039784500000021</v>
      </c>
    </row>
    <row r="114" spans="15:26">
      <c r="O114" s="322"/>
      <c r="P114" s="322">
        <v>2007</v>
      </c>
      <c r="Q114" s="325">
        <v>3.0464920000000002</v>
      </c>
      <c r="R114" s="325">
        <v>0.58317229999999998</v>
      </c>
      <c r="S114" s="325">
        <v>-0.92639280000000002</v>
      </c>
      <c r="T114" s="325">
        <v>-2.703271</v>
      </c>
      <c r="U114" s="322"/>
      <c r="V114" s="325">
        <f t="shared" si="2"/>
        <v>0.5</v>
      </c>
      <c r="W114" s="325">
        <v>4.7092290000000148</v>
      </c>
      <c r="X114" s="325">
        <v>0</v>
      </c>
      <c r="Y114" s="325">
        <v>3.9570050000000023E-2</v>
      </c>
      <c r="Z114" s="325">
        <f t="shared" si="3"/>
        <v>3.9570050000000023</v>
      </c>
    </row>
    <row r="115" spans="15:26">
      <c r="O115" s="322"/>
      <c r="P115" s="322" t="s">
        <v>708</v>
      </c>
      <c r="Q115" s="325">
        <v>3.0877140000000001</v>
      </c>
      <c r="R115" s="325">
        <v>0.58589860000000005</v>
      </c>
      <c r="S115" s="325">
        <v>-0.95431049999999995</v>
      </c>
      <c r="T115" s="325">
        <v>-2.719293</v>
      </c>
      <c r="U115" s="322"/>
      <c r="V115" s="325">
        <f t="shared" si="2"/>
        <v>0.5</v>
      </c>
      <c r="W115" s="325">
        <v>4.7694379999999814</v>
      </c>
      <c r="X115" s="325">
        <v>0</v>
      </c>
      <c r="Y115" s="325">
        <v>4.040043999999976E-2</v>
      </c>
      <c r="Z115" s="325">
        <f t="shared" si="3"/>
        <v>4.040043999999976</v>
      </c>
    </row>
    <row r="116" spans="15:26">
      <c r="O116" s="322"/>
      <c r="P116" s="322" t="s">
        <v>709</v>
      </c>
      <c r="Q116" s="325">
        <v>3.0707369999999998</v>
      </c>
      <c r="R116" s="325">
        <v>0.65459520000000004</v>
      </c>
      <c r="S116" s="325">
        <v>-0.90432670000000004</v>
      </c>
      <c r="T116" s="325">
        <v>-2.8209960000000001</v>
      </c>
      <c r="U116" s="322"/>
      <c r="V116" s="325">
        <f t="shared" si="2"/>
        <v>0.5</v>
      </c>
      <c r="W116" s="325">
        <v>5.355774499999999</v>
      </c>
      <c r="X116" s="325">
        <v>0</v>
      </c>
      <c r="Y116" s="325">
        <v>4.768716499999992E-2</v>
      </c>
      <c r="Z116" s="325">
        <f t="shared" si="3"/>
        <v>4.768716499999992</v>
      </c>
    </row>
    <row r="117" spans="15:26">
      <c r="O117" s="322"/>
      <c r="P117" s="322" t="s">
        <v>710</v>
      </c>
      <c r="Q117" s="325">
        <v>3.0472610000000002</v>
      </c>
      <c r="R117" s="325">
        <v>0.70533369999999995</v>
      </c>
      <c r="S117" s="325">
        <v>-0.85080370000000005</v>
      </c>
      <c r="T117" s="325">
        <v>-2.9017909999999998</v>
      </c>
      <c r="U117" s="322"/>
      <c r="V117" s="325">
        <f t="shared" si="2"/>
        <v>0.5</v>
      </c>
      <c r="W117" s="325">
        <v>5.8086854999999993</v>
      </c>
      <c r="X117" s="325">
        <v>0</v>
      </c>
      <c r="Y117" s="325">
        <v>5.3255374999999994E-2</v>
      </c>
      <c r="Z117" s="325">
        <f t="shared" si="3"/>
        <v>5.3255374999999994</v>
      </c>
    </row>
    <row r="118" spans="15:26">
      <c r="O118" s="322"/>
      <c r="P118" s="322" t="s">
        <v>711</v>
      </c>
      <c r="Q118" s="325">
        <v>3.0959050000000001</v>
      </c>
      <c r="R118" s="325">
        <v>0.7804468</v>
      </c>
      <c r="S118" s="325">
        <v>-0.81313899999999995</v>
      </c>
      <c r="T118" s="325">
        <v>-3.0632030000000001</v>
      </c>
      <c r="U118" s="322"/>
      <c r="V118" s="325">
        <f t="shared" si="2"/>
        <v>0.5</v>
      </c>
      <c r="W118" s="325">
        <v>6.4261280000000198</v>
      </c>
      <c r="X118" s="325">
        <v>0</v>
      </c>
      <c r="Y118" s="325">
        <v>6.0756500000000324E-2</v>
      </c>
      <c r="Z118" s="325">
        <f t="shared" si="3"/>
        <v>6.0756500000000324</v>
      </c>
    </row>
    <row r="119" spans="15:26">
      <c r="O119" s="322"/>
      <c r="P119" s="322" t="s">
        <v>712</v>
      </c>
      <c r="Q119" s="325">
        <v>3.1857700000000002</v>
      </c>
      <c r="R119" s="325">
        <v>0.7960526</v>
      </c>
      <c r="S119" s="325">
        <v>-0.85017370000000003</v>
      </c>
      <c r="T119" s="325">
        <v>-3.1316679999999999</v>
      </c>
      <c r="U119" s="322"/>
      <c r="V119" s="325">
        <f t="shared" si="2"/>
        <v>0.5</v>
      </c>
      <c r="W119" s="325">
        <v>6.4812869999999911</v>
      </c>
      <c r="X119" s="325">
        <v>0</v>
      </c>
      <c r="Y119" s="325">
        <v>6.077701000000002E-2</v>
      </c>
      <c r="Z119" s="325">
        <f t="shared" si="3"/>
        <v>6.077701000000002</v>
      </c>
    </row>
    <row r="120" spans="15:26">
      <c r="O120" s="322"/>
      <c r="P120" s="322" t="s">
        <v>713</v>
      </c>
      <c r="Q120" s="325">
        <v>3.2080419999999998</v>
      </c>
      <c r="R120" s="325">
        <v>0.77972660000000005</v>
      </c>
      <c r="S120" s="325">
        <v>-0.86700250000000001</v>
      </c>
      <c r="T120" s="325">
        <v>-3.1207660000000002</v>
      </c>
      <c r="U120" s="322"/>
      <c r="V120" s="325">
        <f t="shared" si="2"/>
        <v>0.5</v>
      </c>
      <c r="W120" s="325">
        <v>6.3215679999999885</v>
      </c>
      <c r="X120" s="325">
        <v>0</v>
      </c>
      <c r="Y120" s="325">
        <v>5.8872680000000122E-2</v>
      </c>
      <c r="Z120" s="325">
        <f t="shared" si="3"/>
        <v>5.8872680000000122</v>
      </c>
    </row>
    <row r="121" spans="15:26">
      <c r="O121" s="322"/>
      <c r="P121" s="322" t="s">
        <v>714</v>
      </c>
      <c r="Q121" s="325">
        <v>3.2867760000000001</v>
      </c>
      <c r="R121" s="325">
        <v>0.71587089999999998</v>
      </c>
      <c r="S121" s="325">
        <v>-0.92702969999999996</v>
      </c>
      <c r="T121" s="325">
        <v>-3.0756359999999998</v>
      </c>
      <c r="U121" s="322"/>
      <c r="V121" s="325">
        <f t="shared" si="2"/>
        <v>0.5</v>
      </c>
      <c r="W121" s="325">
        <v>5.9626074999999945</v>
      </c>
      <c r="X121" s="325">
        <v>0</v>
      </c>
      <c r="Y121" s="325">
        <v>5.4564335000000019E-2</v>
      </c>
      <c r="Z121" s="325">
        <f t="shared" si="3"/>
        <v>5.4564335000000019</v>
      </c>
    </row>
    <row r="122" spans="15:26">
      <c r="O122" s="322"/>
      <c r="P122" s="322" t="s">
        <v>715</v>
      </c>
      <c r="Q122" s="325">
        <v>3.3622179999999999</v>
      </c>
      <c r="R122" s="325">
        <v>0.7187424</v>
      </c>
      <c r="S122" s="325">
        <v>-0.96497370000000005</v>
      </c>
      <c r="T122" s="325">
        <v>-3.115996</v>
      </c>
      <c r="U122" s="322"/>
      <c r="V122" s="325">
        <f t="shared" si="2"/>
        <v>0.5</v>
      </c>
      <c r="W122" s="325">
        <v>6.0619264999999922</v>
      </c>
      <c r="X122" s="325">
        <v>0</v>
      </c>
      <c r="Y122" s="325">
        <v>5.5649024999999908E-2</v>
      </c>
      <c r="Z122" s="325">
        <f t="shared" si="3"/>
        <v>5.5649024999999908</v>
      </c>
    </row>
    <row r="123" spans="15:26">
      <c r="O123" s="322"/>
      <c r="P123" s="322" t="s">
        <v>716</v>
      </c>
      <c r="Q123" s="325">
        <v>3.3391700000000002</v>
      </c>
      <c r="R123" s="325">
        <v>0.70067900000000005</v>
      </c>
      <c r="S123" s="325">
        <v>-0.96256609999999998</v>
      </c>
      <c r="T123" s="325">
        <v>-3.077283</v>
      </c>
      <c r="U123" s="322"/>
      <c r="V123" s="325">
        <f t="shared" si="2"/>
        <v>0.5</v>
      </c>
      <c r="W123" s="325">
        <v>5.9891080000000319</v>
      </c>
      <c r="X123" s="325">
        <v>0</v>
      </c>
      <c r="Y123" s="325">
        <v>5.4669340000000233E-2</v>
      </c>
      <c r="Z123" s="325">
        <f t="shared" si="3"/>
        <v>5.4669340000000233</v>
      </c>
    </row>
    <row r="124" spans="15:26">
      <c r="O124" s="322"/>
      <c r="P124" s="322" t="s">
        <v>717</v>
      </c>
      <c r="Q124" s="325">
        <v>3.3017189999999998</v>
      </c>
      <c r="R124" s="325">
        <v>0.76611090000000004</v>
      </c>
      <c r="S124" s="325">
        <v>-0.89613779999999998</v>
      </c>
      <c r="T124" s="325">
        <v>-3.1716920000000002</v>
      </c>
      <c r="U124" s="322"/>
      <c r="V124" s="325">
        <f t="shared" si="2"/>
        <v>0.5</v>
      </c>
      <c r="W124" s="325">
        <v>6.5115720000000321</v>
      </c>
      <c r="X124" s="325">
        <v>0</v>
      </c>
      <c r="Y124" s="325">
        <v>6.1269280000000315E-2</v>
      </c>
      <c r="Z124" s="325">
        <f t="shared" si="3"/>
        <v>6.1269280000000315</v>
      </c>
    </row>
    <row r="125" spans="15:26">
      <c r="O125" s="322"/>
      <c r="P125" s="322" t="s">
        <v>718</v>
      </c>
      <c r="Q125" s="325">
        <v>3.3477960000000002</v>
      </c>
      <c r="R125" s="325">
        <v>0.77558459999999996</v>
      </c>
      <c r="S125" s="325">
        <v>-0.90899839999999998</v>
      </c>
      <c r="T125" s="325">
        <v>-3.2143730000000001</v>
      </c>
      <c r="U125" s="322"/>
      <c r="V125" s="325">
        <f t="shared" si="2"/>
        <v>0.58333333333333337</v>
      </c>
      <c r="W125" s="325">
        <v>6.5676035000000077</v>
      </c>
      <c r="X125" s="325">
        <v>1</v>
      </c>
      <c r="Y125" s="325">
        <v>6.2368994999999927E-2</v>
      </c>
      <c r="Z125" s="325">
        <f t="shared" si="3"/>
        <v>6.2368994999999927</v>
      </c>
    </row>
    <row r="126" spans="15:26">
      <c r="O126" s="322"/>
      <c r="P126" s="322">
        <v>2008</v>
      </c>
      <c r="Q126" s="325">
        <v>3.3928069999999999</v>
      </c>
      <c r="R126" s="325">
        <v>0.78973380000000004</v>
      </c>
      <c r="S126" s="325">
        <v>-0.91767080000000001</v>
      </c>
      <c r="T126" s="325">
        <v>-3.2648700000000002</v>
      </c>
      <c r="U126" s="322"/>
      <c r="V126" s="325">
        <f t="shared" si="2"/>
        <v>0.58333333333333337</v>
      </c>
      <c r="W126" s="325">
        <v>6.691216500000019</v>
      </c>
      <c r="X126" s="325">
        <v>1</v>
      </c>
      <c r="Y126" s="325">
        <v>6.3653405000000163E-2</v>
      </c>
      <c r="Z126" s="325">
        <f t="shared" si="3"/>
        <v>6.3653405000000163</v>
      </c>
    </row>
    <row r="127" spans="15:26">
      <c r="O127" s="322"/>
      <c r="P127" s="322" t="s">
        <v>719</v>
      </c>
      <c r="Q127" s="325">
        <v>3.4089740000000002</v>
      </c>
      <c r="R127" s="325">
        <v>0.78720230000000002</v>
      </c>
      <c r="S127" s="325">
        <v>-0.92960120000000002</v>
      </c>
      <c r="T127" s="325">
        <v>-3.2665660000000001</v>
      </c>
      <c r="U127" s="322"/>
      <c r="V127" s="325">
        <f t="shared" si="2"/>
        <v>0.58333333333333337</v>
      </c>
      <c r="W127" s="325">
        <v>6.6798939999999973</v>
      </c>
      <c r="X127" s="325">
        <v>1</v>
      </c>
      <c r="Y127" s="325">
        <v>6.3110100000000058E-2</v>
      </c>
      <c r="Z127" s="325">
        <f t="shared" si="3"/>
        <v>6.3110100000000058</v>
      </c>
    </row>
    <row r="128" spans="15:26">
      <c r="O128" s="322"/>
      <c r="P128" s="322" t="s">
        <v>720</v>
      </c>
      <c r="Q128" s="325">
        <v>3.3929309999999999</v>
      </c>
      <c r="R128" s="325">
        <v>0.82001409999999997</v>
      </c>
      <c r="S128" s="325">
        <v>-0.90787569999999995</v>
      </c>
      <c r="T128" s="325">
        <v>-3.3050790000000001</v>
      </c>
      <c r="U128" s="322"/>
      <c r="V128" s="325">
        <f t="shared" si="2"/>
        <v>0.58333333333333337</v>
      </c>
      <c r="W128" s="325">
        <v>6.9531499999999857</v>
      </c>
      <c r="X128" s="325">
        <v>1</v>
      </c>
      <c r="Y128" s="325">
        <v>6.61458399999999E-2</v>
      </c>
      <c r="Z128" s="325">
        <f t="shared" si="3"/>
        <v>6.61458399999999</v>
      </c>
    </row>
    <row r="129" spans="15:26">
      <c r="O129" s="322"/>
      <c r="P129" s="322" t="s">
        <v>721</v>
      </c>
      <c r="Q129" s="325">
        <v>3.4749949999999998</v>
      </c>
      <c r="R129" s="325">
        <v>0.88634769999999996</v>
      </c>
      <c r="S129" s="325">
        <v>-0.91035999999999995</v>
      </c>
      <c r="T129" s="325">
        <v>-3.4510010000000002</v>
      </c>
      <c r="U129" s="322"/>
      <c r="V129" s="325">
        <f t="shared" si="2"/>
        <v>0.58333333333333337</v>
      </c>
      <c r="W129" s="325">
        <v>7.4479359999999994</v>
      </c>
      <c r="X129" s="325">
        <v>1</v>
      </c>
      <c r="Y129" s="325">
        <v>7.1751459999999989E-2</v>
      </c>
      <c r="Z129" s="325">
        <f t="shared" si="3"/>
        <v>7.1751459999999989</v>
      </c>
    </row>
    <row r="130" spans="15:26">
      <c r="O130" s="322"/>
      <c r="P130" s="322" t="s">
        <v>722</v>
      </c>
      <c r="Q130" s="325">
        <v>3.4933909999999999</v>
      </c>
      <c r="R130" s="325">
        <v>0.96194250000000003</v>
      </c>
      <c r="S130" s="325">
        <v>-0.87453159999999996</v>
      </c>
      <c r="T130" s="325">
        <v>-3.5808019999999998</v>
      </c>
      <c r="U130" s="322"/>
      <c r="V130" s="325">
        <f t="shared" si="2"/>
        <v>0.58333333333333337</v>
      </c>
      <c r="W130" s="325">
        <v>8.0251049999999999</v>
      </c>
      <c r="X130" s="325">
        <v>1</v>
      </c>
      <c r="Y130" s="325">
        <v>7.8581750000000117E-2</v>
      </c>
      <c r="Z130" s="325">
        <f t="shared" si="3"/>
        <v>7.8581750000000117</v>
      </c>
    </row>
    <row r="131" spans="15:26">
      <c r="O131" s="322"/>
      <c r="P131" s="322" t="s">
        <v>723</v>
      </c>
      <c r="Q131" s="325">
        <v>3.5637110000000001</v>
      </c>
      <c r="R131" s="325">
        <v>1.041828</v>
      </c>
      <c r="S131" s="325">
        <v>-0.86312880000000003</v>
      </c>
      <c r="T131" s="325">
        <v>-3.7424019999999998</v>
      </c>
      <c r="U131" s="322"/>
      <c r="V131" s="325">
        <f t="shared" si="2"/>
        <v>0.58333333333333337</v>
      </c>
      <c r="W131" s="325">
        <v>8.6609684999999992</v>
      </c>
      <c r="X131" s="325">
        <v>1</v>
      </c>
      <c r="Y131" s="325">
        <v>8.6274425000000043E-2</v>
      </c>
      <c r="Z131" s="325">
        <f t="shared" si="3"/>
        <v>8.6274425000000043</v>
      </c>
    </row>
    <row r="132" spans="15:26">
      <c r="O132" s="322"/>
      <c r="P132" s="322" t="s">
        <v>724</v>
      </c>
      <c r="Q132" s="325">
        <v>3.6435689999999998</v>
      </c>
      <c r="R132" s="325">
        <v>1.0612140000000001</v>
      </c>
      <c r="S132" s="325">
        <v>-0.88813169999999997</v>
      </c>
      <c r="T132" s="325">
        <v>-3.8166340000000001</v>
      </c>
      <c r="U132" s="322"/>
      <c r="V132" s="325">
        <f t="shared" si="2"/>
        <v>0.58333333333333337</v>
      </c>
      <c r="W132" s="325">
        <v>8.8508964999999939</v>
      </c>
      <c r="X132" s="325">
        <v>1</v>
      </c>
      <c r="Y132" s="325">
        <v>8.8475224999999824E-2</v>
      </c>
      <c r="Z132" s="325">
        <f t="shared" si="3"/>
        <v>8.8475224999999824</v>
      </c>
    </row>
    <row r="133" spans="15:26">
      <c r="O133" s="322"/>
      <c r="P133" s="322" t="s">
        <v>725</v>
      </c>
      <c r="Q133" s="325">
        <v>3.7428240000000002</v>
      </c>
      <c r="R133" s="325">
        <v>0.97802350000000005</v>
      </c>
      <c r="S133" s="325">
        <v>-0.97351719999999997</v>
      </c>
      <c r="T133" s="325">
        <v>-3.7473390000000002</v>
      </c>
      <c r="U133" s="322"/>
      <c r="V133" s="325">
        <f t="shared" si="2"/>
        <v>0.58333333333333337</v>
      </c>
      <c r="W133" s="325">
        <v>8.3349404999999877</v>
      </c>
      <c r="X133" s="325">
        <v>1</v>
      </c>
      <c r="Y133" s="325">
        <v>8.2200544999999847E-2</v>
      </c>
      <c r="Z133" s="325">
        <f t="shared" si="3"/>
        <v>8.2200544999999856</v>
      </c>
    </row>
    <row r="134" spans="15:26">
      <c r="O134" s="322"/>
      <c r="P134" s="322" t="s">
        <v>726</v>
      </c>
      <c r="Q134" s="325">
        <v>3.8035489999999998</v>
      </c>
      <c r="R134" s="325">
        <v>0.94636659999999995</v>
      </c>
      <c r="S134" s="325">
        <v>-1.018759</v>
      </c>
      <c r="T134" s="325">
        <v>-3.7311480000000001</v>
      </c>
      <c r="U134" s="322"/>
      <c r="V134" s="325">
        <f t="shared" ref="V134:V197" si="4">(X134/6+1)/2</f>
        <v>0.58333333333333337</v>
      </c>
      <c r="W134" s="325">
        <v>8.1729834999999973</v>
      </c>
      <c r="X134" s="325">
        <v>1</v>
      </c>
      <c r="Y134" s="325">
        <v>7.9868935000000141E-2</v>
      </c>
      <c r="Z134" s="325">
        <f t="shared" ref="Z134:Z197" si="5">Y134*100</f>
        <v>7.9868935000000141</v>
      </c>
    </row>
    <row r="135" spans="15:26">
      <c r="O135" s="322"/>
      <c r="P135" s="322" t="s">
        <v>727</v>
      </c>
      <c r="Q135" s="325">
        <v>3.8481359999999998</v>
      </c>
      <c r="R135" s="325">
        <v>0.82708020000000004</v>
      </c>
      <c r="S135" s="325">
        <v>-1.1074269999999999</v>
      </c>
      <c r="T135" s="325">
        <v>-3.5677889999999999</v>
      </c>
      <c r="U135" s="322"/>
      <c r="V135" s="325">
        <f t="shared" si="4"/>
        <v>0.58333333333333337</v>
      </c>
      <c r="W135" s="325">
        <v>7.2843470000000021</v>
      </c>
      <c r="X135" s="325">
        <v>1</v>
      </c>
      <c r="Y135" s="325">
        <v>6.9205010000000122E-2</v>
      </c>
      <c r="Z135" s="325">
        <f t="shared" si="5"/>
        <v>6.9205010000000122</v>
      </c>
    </row>
    <row r="136" spans="15:26">
      <c r="O136" s="322"/>
      <c r="P136" s="322" t="s">
        <v>728</v>
      </c>
      <c r="Q136" s="325">
        <v>3.9949379999999999</v>
      </c>
      <c r="R136" s="325">
        <v>0.64684980000000003</v>
      </c>
      <c r="S136" s="325">
        <v>-1.2821959999999999</v>
      </c>
      <c r="T136" s="325">
        <v>-3.3595830000000002</v>
      </c>
      <c r="U136" s="322"/>
      <c r="V136" s="325">
        <f t="shared" si="4"/>
        <v>0.58333333333333337</v>
      </c>
      <c r="W136" s="325">
        <v>5.9218299999999724</v>
      </c>
      <c r="X136" s="325">
        <v>1</v>
      </c>
      <c r="Y136" s="325">
        <v>5.3206739999999808E-2</v>
      </c>
      <c r="Z136" s="325">
        <f t="shared" si="5"/>
        <v>5.3206739999999808</v>
      </c>
    </row>
    <row r="137" spans="15:26">
      <c r="O137" s="322"/>
      <c r="P137" s="322" t="s">
        <v>729</v>
      </c>
      <c r="Q137" s="325">
        <v>4.095351</v>
      </c>
      <c r="R137" s="325">
        <v>0.58047130000000002</v>
      </c>
      <c r="S137" s="325">
        <v>-1.364617</v>
      </c>
      <c r="T137" s="325">
        <v>-3.3112140000000001</v>
      </c>
      <c r="U137" s="322"/>
      <c r="V137" s="325">
        <f t="shared" si="4"/>
        <v>0.58333333333333337</v>
      </c>
      <c r="W137" s="325">
        <v>5.4341149999999949</v>
      </c>
      <c r="X137" s="325">
        <v>1</v>
      </c>
      <c r="Y137" s="325">
        <v>4.7950289999999951E-2</v>
      </c>
      <c r="Z137" s="325">
        <f t="shared" si="5"/>
        <v>4.7950289999999951</v>
      </c>
    </row>
    <row r="138" spans="15:26">
      <c r="O138" s="322"/>
      <c r="P138" s="322">
        <v>2009</v>
      </c>
      <c r="Q138" s="325">
        <v>4.0908420000000003</v>
      </c>
      <c r="R138" s="325">
        <v>0.60189150000000002</v>
      </c>
      <c r="S138" s="325">
        <v>-1.341272</v>
      </c>
      <c r="T138" s="325">
        <v>-3.3514529999999998</v>
      </c>
      <c r="U138" s="322"/>
      <c r="V138" s="325">
        <f t="shared" si="4"/>
        <v>0.58333333333333337</v>
      </c>
      <c r="W138" s="325">
        <v>5.6432594999999752</v>
      </c>
      <c r="X138" s="325">
        <v>1</v>
      </c>
      <c r="Y138" s="325">
        <v>5.0648154999999973E-2</v>
      </c>
      <c r="Z138" s="325">
        <f t="shared" si="5"/>
        <v>5.0648154999999973</v>
      </c>
    </row>
    <row r="139" spans="15:26">
      <c r="O139" s="322"/>
      <c r="P139" s="322" t="s">
        <v>730</v>
      </c>
      <c r="Q139" s="325">
        <v>4.0122590000000002</v>
      </c>
      <c r="R139" s="325">
        <v>0.60699250000000005</v>
      </c>
      <c r="S139" s="325">
        <v>-1.301377</v>
      </c>
      <c r="T139" s="325">
        <v>-3.3178740000000002</v>
      </c>
      <c r="U139" s="322"/>
      <c r="V139" s="325">
        <f t="shared" si="4"/>
        <v>0.58333333333333337</v>
      </c>
      <c r="W139" s="325">
        <v>5.7358475000000242</v>
      </c>
      <c r="X139" s="325">
        <v>1</v>
      </c>
      <c r="Y139" s="325">
        <v>5.1719915000000283E-2</v>
      </c>
      <c r="Z139" s="325">
        <f t="shared" si="5"/>
        <v>5.1719915000000283</v>
      </c>
    </row>
    <row r="140" spans="15:26">
      <c r="O140" s="322"/>
      <c r="P140" s="322" t="s">
        <v>731</v>
      </c>
      <c r="Q140" s="325">
        <v>4.0329649999999999</v>
      </c>
      <c r="R140" s="325">
        <v>0.62000219999999995</v>
      </c>
      <c r="S140" s="325">
        <v>-1.3113379999999999</v>
      </c>
      <c r="T140" s="325">
        <v>-3.3416199999999998</v>
      </c>
      <c r="U140" s="322"/>
      <c r="V140" s="325">
        <f t="shared" si="4"/>
        <v>0.58333333333333337</v>
      </c>
      <c r="W140" s="325">
        <v>5.7914909999999598</v>
      </c>
      <c r="X140" s="325">
        <v>1</v>
      </c>
      <c r="Y140" s="325">
        <v>5.1930269999999723E-2</v>
      </c>
      <c r="Z140" s="325">
        <f t="shared" si="5"/>
        <v>5.1930269999999723</v>
      </c>
    </row>
    <row r="141" spans="15:26">
      <c r="O141" s="322"/>
      <c r="P141" s="322" t="s">
        <v>732</v>
      </c>
      <c r="Q141" s="325">
        <v>4.0269680000000001</v>
      </c>
      <c r="R141" s="325">
        <v>0.66958609999999996</v>
      </c>
      <c r="S141" s="325">
        <v>-1.2900609999999999</v>
      </c>
      <c r="T141" s="325">
        <v>-3.4065020000000001</v>
      </c>
      <c r="U141" s="322"/>
      <c r="V141" s="325">
        <f t="shared" si="4"/>
        <v>0.58333333333333337</v>
      </c>
      <c r="W141" s="325">
        <v>6.069536000000042</v>
      </c>
      <c r="X141" s="325">
        <v>1</v>
      </c>
      <c r="Y141" s="325">
        <v>5.4871660000000322E-2</v>
      </c>
      <c r="Z141" s="325">
        <f t="shared" si="5"/>
        <v>5.4871660000000322</v>
      </c>
    </row>
    <row r="142" spans="15:26">
      <c r="O142" s="322"/>
      <c r="P142" s="322" t="s">
        <v>733</v>
      </c>
      <c r="Q142" s="325">
        <v>3.9833270000000001</v>
      </c>
      <c r="R142" s="325">
        <v>0.72058719999999998</v>
      </c>
      <c r="S142" s="325">
        <v>-1.2385649999999999</v>
      </c>
      <c r="T142" s="325">
        <v>-3.4653679999999998</v>
      </c>
      <c r="U142" s="322"/>
      <c r="V142" s="325">
        <f t="shared" si="4"/>
        <v>0.58333333333333337</v>
      </c>
      <c r="W142" s="325">
        <v>6.4277394999999737</v>
      </c>
      <c r="X142" s="325">
        <v>1</v>
      </c>
      <c r="Y142" s="325">
        <v>5.9177374999999754E-2</v>
      </c>
      <c r="Z142" s="325">
        <f t="shared" si="5"/>
        <v>5.9177374999999754</v>
      </c>
    </row>
    <row r="143" spans="15:26">
      <c r="O143" s="322"/>
      <c r="P143" s="322" t="s">
        <v>734</v>
      </c>
      <c r="Q143" s="325">
        <v>3.9818899999999999</v>
      </c>
      <c r="R143" s="325">
        <v>0.82287440000000001</v>
      </c>
      <c r="S143" s="325">
        <v>-1.1808920000000001</v>
      </c>
      <c r="T143" s="325">
        <v>-3.6238809999999999</v>
      </c>
      <c r="U143" s="322"/>
      <c r="V143" s="325">
        <f t="shared" si="4"/>
        <v>0.58333333333333337</v>
      </c>
      <c r="W143" s="325">
        <v>7.1595389999999925</v>
      </c>
      <c r="X143" s="325">
        <v>1</v>
      </c>
      <c r="Y143" s="325">
        <v>6.7636549999999795E-2</v>
      </c>
      <c r="Z143" s="325">
        <f t="shared" si="5"/>
        <v>6.7636549999999795</v>
      </c>
    </row>
    <row r="144" spans="15:26">
      <c r="O144" s="322"/>
      <c r="P144" s="322" t="s">
        <v>735</v>
      </c>
      <c r="Q144" s="325">
        <v>3.9826649999999999</v>
      </c>
      <c r="R144" s="325">
        <v>0.79622729999999997</v>
      </c>
      <c r="S144" s="325">
        <v>-1.1928209999999999</v>
      </c>
      <c r="T144" s="325">
        <v>-3.5860629999999998</v>
      </c>
      <c r="U144" s="322"/>
      <c r="V144" s="325">
        <f t="shared" si="4"/>
        <v>0.5</v>
      </c>
      <c r="W144" s="325">
        <v>6.962664499999982</v>
      </c>
      <c r="X144" s="325">
        <v>0</v>
      </c>
      <c r="Y144" s="325">
        <v>6.549446499999978E-2</v>
      </c>
      <c r="Z144" s="325">
        <f t="shared" si="5"/>
        <v>6.549446499999978</v>
      </c>
    </row>
    <row r="145" spans="15:26">
      <c r="O145" s="322"/>
      <c r="P145" s="322" t="s">
        <v>736</v>
      </c>
      <c r="Q145" s="325">
        <v>4.048076</v>
      </c>
      <c r="R145" s="325">
        <v>0.80454919999999996</v>
      </c>
      <c r="S145" s="325">
        <v>-1.2125280000000001</v>
      </c>
      <c r="T145" s="325">
        <v>-3.640088</v>
      </c>
      <c r="U145" s="322"/>
      <c r="V145" s="325">
        <f t="shared" si="4"/>
        <v>0.5</v>
      </c>
      <c r="W145" s="325">
        <v>7.0840485000000175</v>
      </c>
      <c r="X145" s="325">
        <v>0</v>
      </c>
      <c r="Y145" s="325">
        <v>6.6775465000000089E-2</v>
      </c>
      <c r="Z145" s="325">
        <f t="shared" si="5"/>
        <v>6.6775465000000089</v>
      </c>
    </row>
    <row r="146" spans="15:26">
      <c r="O146" s="322"/>
      <c r="P146" s="322" t="s">
        <v>737</v>
      </c>
      <c r="Q146" s="325">
        <v>4.0621539999999996</v>
      </c>
      <c r="R146" s="325">
        <v>0.77821580000000001</v>
      </c>
      <c r="S146" s="325">
        <v>-1.2350680000000001</v>
      </c>
      <c r="T146" s="325">
        <v>-3.6053099999999998</v>
      </c>
      <c r="U146" s="322"/>
      <c r="V146" s="325">
        <f t="shared" si="4"/>
        <v>0.5</v>
      </c>
      <c r="W146" s="325">
        <v>6.9225595000000251</v>
      </c>
      <c r="X146" s="325">
        <v>0</v>
      </c>
      <c r="Y146" s="325">
        <v>6.4331834999999948E-2</v>
      </c>
      <c r="Z146" s="325">
        <f t="shared" si="5"/>
        <v>6.4331834999999948</v>
      </c>
    </row>
    <row r="147" spans="15:26">
      <c r="O147" s="322"/>
      <c r="P147" s="322" t="s">
        <v>738</v>
      </c>
      <c r="Q147" s="325">
        <v>3.9711310000000002</v>
      </c>
      <c r="R147" s="325">
        <v>0.76115840000000001</v>
      </c>
      <c r="S147" s="325">
        <v>-1.2002839999999999</v>
      </c>
      <c r="T147" s="325">
        <v>-3.5319959999999999</v>
      </c>
      <c r="U147" s="322"/>
      <c r="V147" s="325">
        <f t="shared" si="4"/>
        <v>0.5</v>
      </c>
      <c r="W147" s="325">
        <v>6.7958974999999811</v>
      </c>
      <c r="X147" s="325">
        <v>0</v>
      </c>
      <c r="Y147" s="325">
        <v>6.2752694999999692E-2</v>
      </c>
      <c r="Z147" s="325">
        <f t="shared" si="5"/>
        <v>6.2752694999999692</v>
      </c>
    </row>
    <row r="148" spans="15:26">
      <c r="O148" s="322"/>
      <c r="P148" s="322" t="s">
        <v>739</v>
      </c>
      <c r="Q148" s="325">
        <v>3.9538319999999998</v>
      </c>
      <c r="R148" s="325">
        <v>0.80632429999999999</v>
      </c>
      <c r="S148" s="325">
        <v>-1.1679060000000001</v>
      </c>
      <c r="T148" s="325">
        <v>-3.5922589999999999</v>
      </c>
      <c r="U148" s="322"/>
      <c r="V148" s="325">
        <f t="shared" si="4"/>
        <v>0.5</v>
      </c>
      <c r="W148" s="325">
        <v>7.0786385000000118</v>
      </c>
      <c r="X148" s="325">
        <v>0</v>
      </c>
      <c r="Y148" s="325">
        <v>6.6166245000000234E-2</v>
      </c>
      <c r="Z148" s="325">
        <f t="shared" si="5"/>
        <v>6.6166245000000234</v>
      </c>
    </row>
    <row r="149" spans="15:26">
      <c r="O149" s="322"/>
      <c r="P149" s="322" t="s">
        <v>740</v>
      </c>
      <c r="Q149" s="325">
        <v>3.980032</v>
      </c>
      <c r="R149" s="325">
        <v>0.82909860000000002</v>
      </c>
      <c r="S149" s="325">
        <v>-1.1662650000000001</v>
      </c>
      <c r="T149" s="325">
        <v>-3.6428750000000001</v>
      </c>
      <c r="U149" s="322"/>
      <c r="V149" s="325">
        <f t="shared" si="4"/>
        <v>0.5</v>
      </c>
      <c r="W149" s="325">
        <v>7.2027330000000056</v>
      </c>
      <c r="X149" s="325">
        <v>0</v>
      </c>
      <c r="Y149" s="325">
        <v>6.7731130000000084E-2</v>
      </c>
      <c r="Z149" s="325">
        <f t="shared" si="5"/>
        <v>6.7731130000000084</v>
      </c>
    </row>
    <row r="150" spans="15:26">
      <c r="O150" s="322"/>
      <c r="P150" s="322">
        <v>2010</v>
      </c>
      <c r="Q150" s="325">
        <v>4.0151120000000002</v>
      </c>
      <c r="R150" s="325">
        <v>0.89602289999999996</v>
      </c>
      <c r="S150" s="325">
        <v>-1.147713</v>
      </c>
      <c r="T150" s="325">
        <v>-3.7634129999999999</v>
      </c>
      <c r="U150" s="322"/>
      <c r="V150" s="325">
        <f t="shared" si="4"/>
        <v>0.5</v>
      </c>
      <c r="W150" s="325">
        <v>7.6463455000000069</v>
      </c>
      <c r="X150" s="325">
        <v>0</v>
      </c>
      <c r="Y150" s="325">
        <v>7.3241534999999969E-2</v>
      </c>
      <c r="Z150" s="325">
        <f t="shared" si="5"/>
        <v>7.3241534999999969</v>
      </c>
    </row>
    <row r="151" spans="15:26">
      <c r="O151" s="322"/>
      <c r="P151" s="322" t="s">
        <v>741</v>
      </c>
      <c r="Q151" s="325">
        <v>4.0144820000000001</v>
      </c>
      <c r="R151" s="325">
        <v>0.87398580000000003</v>
      </c>
      <c r="S151" s="325">
        <v>-1.1600470000000001</v>
      </c>
      <c r="T151" s="325">
        <v>-3.7284120000000001</v>
      </c>
      <c r="U151" s="322"/>
      <c r="V151" s="325">
        <f t="shared" si="4"/>
        <v>0.5</v>
      </c>
      <c r="W151" s="325">
        <v>7.5252474999999874</v>
      </c>
      <c r="X151" s="325">
        <v>0</v>
      </c>
      <c r="Y151" s="325">
        <v>7.1454754999999981E-2</v>
      </c>
      <c r="Z151" s="325">
        <f t="shared" si="5"/>
        <v>7.1454754999999981</v>
      </c>
    </row>
    <row r="152" spans="15:26">
      <c r="O152" s="322"/>
      <c r="P152" s="322" t="s">
        <v>742</v>
      </c>
      <c r="Q152" s="325">
        <v>4.0113250000000003</v>
      </c>
      <c r="R152" s="325">
        <v>0.89676929999999999</v>
      </c>
      <c r="S152" s="325">
        <v>-1.1430400000000001</v>
      </c>
      <c r="T152" s="325">
        <v>-3.7650640000000002</v>
      </c>
      <c r="U152" s="322"/>
      <c r="V152" s="325">
        <f t="shared" si="4"/>
        <v>0.5</v>
      </c>
      <c r="W152" s="325">
        <v>7.7385465000000098</v>
      </c>
      <c r="X152" s="325">
        <v>0</v>
      </c>
      <c r="Y152" s="325">
        <v>7.3566185000000006E-2</v>
      </c>
      <c r="Z152" s="325">
        <f t="shared" si="5"/>
        <v>7.3566185000000006</v>
      </c>
    </row>
    <row r="153" spans="15:26">
      <c r="O153" s="322"/>
      <c r="P153" s="322" t="s">
        <v>743</v>
      </c>
      <c r="Q153" s="325">
        <v>3.9814910000000001</v>
      </c>
      <c r="R153" s="325">
        <v>0.91478289999999995</v>
      </c>
      <c r="S153" s="325">
        <v>-1.123259</v>
      </c>
      <c r="T153" s="325">
        <v>-3.7730060000000001</v>
      </c>
      <c r="U153" s="322"/>
      <c r="V153" s="325">
        <f t="shared" si="4"/>
        <v>0.5</v>
      </c>
      <c r="W153" s="325">
        <v>7.8363420000000072</v>
      </c>
      <c r="X153" s="325">
        <v>0</v>
      </c>
      <c r="Y153" s="325">
        <v>7.4335780000000184E-2</v>
      </c>
      <c r="Z153" s="325">
        <f t="shared" si="5"/>
        <v>7.4335780000000184</v>
      </c>
    </row>
    <row r="154" spans="15:26">
      <c r="O154" s="322"/>
      <c r="P154" s="322" t="s">
        <v>744</v>
      </c>
      <c r="Q154" s="325">
        <v>3.9792290000000001</v>
      </c>
      <c r="R154" s="325">
        <v>0.92309339999999995</v>
      </c>
      <c r="S154" s="325">
        <v>-1.1182570000000001</v>
      </c>
      <c r="T154" s="325">
        <v>-3.7840569999999998</v>
      </c>
      <c r="U154" s="322"/>
      <c r="V154" s="325">
        <f t="shared" si="4"/>
        <v>0.5</v>
      </c>
      <c r="W154" s="325">
        <v>7.8601265000000087</v>
      </c>
      <c r="X154" s="325">
        <v>0</v>
      </c>
      <c r="Y154" s="325">
        <v>7.4584945000000014E-2</v>
      </c>
      <c r="Z154" s="325">
        <f t="shared" si="5"/>
        <v>7.4584945000000014</v>
      </c>
    </row>
    <row r="155" spans="15:26">
      <c r="O155" s="322"/>
      <c r="P155" s="322" t="s">
        <v>745</v>
      </c>
      <c r="Q155" s="325">
        <v>4.0444380000000004</v>
      </c>
      <c r="R155" s="325">
        <v>0.90750640000000005</v>
      </c>
      <c r="S155" s="325">
        <v>-1.1619820000000001</v>
      </c>
      <c r="T155" s="325">
        <v>-3.7899620000000001</v>
      </c>
      <c r="U155" s="322"/>
      <c r="V155" s="325">
        <f t="shared" si="4"/>
        <v>0.5</v>
      </c>
      <c r="W155" s="325">
        <v>7.689024500000019</v>
      </c>
      <c r="X155" s="325">
        <v>0</v>
      </c>
      <c r="Y155" s="325">
        <v>7.2534145000000105E-2</v>
      </c>
      <c r="Z155" s="325">
        <f t="shared" si="5"/>
        <v>7.2534145000000105</v>
      </c>
    </row>
    <row r="156" spans="15:26">
      <c r="O156" s="322"/>
      <c r="P156" s="322" t="s">
        <v>746</v>
      </c>
      <c r="Q156" s="325">
        <v>4.0603429999999996</v>
      </c>
      <c r="R156" s="325">
        <v>0.9165797</v>
      </c>
      <c r="S156" s="325">
        <v>-1.1682969999999999</v>
      </c>
      <c r="T156" s="325">
        <v>-3.8086159999999998</v>
      </c>
      <c r="U156" s="322"/>
      <c r="V156" s="325">
        <f t="shared" si="4"/>
        <v>0.5</v>
      </c>
      <c r="W156" s="325">
        <v>7.6993234999999771</v>
      </c>
      <c r="X156" s="325">
        <v>0</v>
      </c>
      <c r="Y156" s="325">
        <v>7.299351499999962E-2</v>
      </c>
      <c r="Z156" s="325">
        <f t="shared" si="5"/>
        <v>7.299351499999962</v>
      </c>
    </row>
    <row r="157" spans="15:26">
      <c r="O157" s="322"/>
      <c r="P157" s="322" t="s">
        <v>747</v>
      </c>
      <c r="Q157" s="325">
        <v>4.1061259999999997</v>
      </c>
      <c r="R157" s="325">
        <v>0.91675960000000001</v>
      </c>
      <c r="S157" s="325">
        <v>-1.1873050000000001</v>
      </c>
      <c r="T157" s="325">
        <v>-3.8355969999999999</v>
      </c>
      <c r="U157" s="322"/>
      <c r="V157" s="325">
        <f t="shared" si="4"/>
        <v>0.5</v>
      </c>
      <c r="W157" s="325">
        <v>7.7343000000000162</v>
      </c>
      <c r="X157" s="325">
        <v>0</v>
      </c>
      <c r="Y157" s="325">
        <v>7.3052140000000154E-2</v>
      </c>
      <c r="Z157" s="325">
        <f t="shared" si="5"/>
        <v>7.3052140000000154</v>
      </c>
    </row>
    <row r="158" spans="15:26">
      <c r="O158" s="322"/>
      <c r="P158" s="322" t="s">
        <v>748</v>
      </c>
      <c r="Q158" s="325">
        <v>4.1639049999999997</v>
      </c>
      <c r="R158" s="325">
        <v>0.91127080000000005</v>
      </c>
      <c r="S158" s="325">
        <v>-1.219061</v>
      </c>
      <c r="T158" s="325">
        <v>-3.856115</v>
      </c>
      <c r="U158" s="322"/>
      <c r="V158" s="325">
        <f t="shared" si="4"/>
        <v>0.5</v>
      </c>
      <c r="W158" s="325">
        <v>7.7489964999999827</v>
      </c>
      <c r="X158" s="325">
        <v>0</v>
      </c>
      <c r="Y158" s="325">
        <v>7.272026499999984E-2</v>
      </c>
      <c r="Z158" s="325">
        <f t="shared" si="5"/>
        <v>7.272026499999984</v>
      </c>
    </row>
    <row r="159" spans="15:26">
      <c r="O159" s="322"/>
      <c r="P159" s="322" t="s">
        <v>749</v>
      </c>
      <c r="Q159" s="325">
        <v>4.1011550000000003</v>
      </c>
      <c r="R159" s="325">
        <v>0.92810749999999997</v>
      </c>
      <c r="S159" s="325">
        <v>-1.1821330000000001</v>
      </c>
      <c r="T159" s="325">
        <v>-3.8471380000000002</v>
      </c>
      <c r="U159" s="322"/>
      <c r="V159" s="325">
        <f t="shared" si="4"/>
        <v>0.5</v>
      </c>
      <c r="W159" s="325">
        <v>7.8849754999999799</v>
      </c>
      <c r="X159" s="325">
        <v>0</v>
      </c>
      <c r="Y159" s="325">
        <v>7.4443294999999576E-2</v>
      </c>
      <c r="Z159" s="325">
        <f t="shared" si="5"/>
        <v>7.4443294999999576</v>
      </c>
    </row>
    <row r="160" spans="15:26">
      <c r="O160" s="322"/>
      <c r="P160" s="322" t="s">
        <v>750</v>
      </c>
      <c r="Q160" s="325">
        <v>4.0817139999999998</v>
      </c>
      <c r="R160" s="325">
        <v>0.94754590000000005</v>
      </c>
      <c r="S160" s="325">
        <v>-1.1644140000000001</v>
      </c>
      <c r="T160" s="325">
        <v>-3.8648380000000002</v>
      </c>
      <c r="U160" s="322"/>
      <c r="V160" s="325">
        <f t="shared" si="4"/>
        <v>0.5</v>
      </c>
      <c r="W160" s="325">
        <v>8.0010944999999936</v>
      </c>
      <c r="X160" s="325">
        <v>0</v>
      </c>
      <c r="Y160" s="325">
        <v>7.5905924999999819E-2</v>
      </c>
      <c r="Z160" s="325">
        <f t="shared" si="5"/>
        <v>7.5905924999999819</v>
      </c>
    </row>
    <row r="161" spans="15:26">
      <c r="O161" s="322"/>
      <c r="P161" s="322" t="s">
        <v>751</v>
      </c>
      <c r="Q161" s="325">
        <v>4.0778230000000004</v>
      </c>
      <c r="R161" s="325">
        <v>0.98935899999999999</v>
      </c>
      <c r="S161" s="325">
        <v>-1.14357</v>
      </c>
      <c r="T161" s="325">
        <v>-3.923603</v>
      </c>
      <c r="U161" s="322"/>
      <c r="V161" s="325">
        <f t="shared" si="4"/>
        <v>0.5</v>
      </c>
      <c r="W161" s="325">
        <v>8.2567620000000286</v>
      </c>
      <c r="X161" s="325">
        <v>0</v>
      </c>
      <c r="Y161" s="325">
        <v>7.933064000000023E-2</v>
      </c>
      <c r="Z161" s="325">
        <f t="shared" si="5"/>
        <v>7.933064000000023</v>
      </c>
    </row>
    <row r="162" spans="15:26">
      <c r="O162" s="322"/>
      <c r="P162" s="322">
        <v>2011</v>
      </c>
      <c r="Q162" s="325">
        <v>4.1007660000000001</v>
      </c>
      <c r="R162" s="325">
        <v>1.0237560000000001</v>
      </c>
      <c r="S162" s="325">
        <v>-1.1368959999999999</v>
      </c>
      <c r="T162" s="325">
        <v>-3.9876260000000001</v>
      </c>
      <c r="U162" s="322"/>
      <c r="V162" s="325">
        <f t="shared" si="4"/>
        <v>0.5</v>
      </c>
      <c r="W162" s="325">
        <v>8.521582999999989</v>
      </c>
      <c r="X162" s="325">
        <v>0</v>
      </c>
      <c r="Y162" s="325">
        <v>8.2393130000000037E-2</v>
      </c>
      <c r="Z162" s="325">
        <f t="shared" si="5"/>
        <v>8.2393130000000028</v>
      </c>
    </row>
    <row r="163" spans="15:26">
      <c r="O163" s="322"/>
      <c r="P163" s="322" t="s">
        <v>752</v>
      </c>
      <c r="Q163" s="325">
        <v>4.0828509999999998</v>
      </c>
      <c r="R163" s="325">
        <v>1.0378419999999999</v>
      </c>
      <c r="S163" s="325">
        <v>-1.1216280000000001</v>
      </c>
      <c r="T163" s="325">
        <v>-3.9990739999999998</v>
      </c>
      <c r="U163" s="322"/>
      <c r="V163" s="325">
        <f t="shared" si="4"/>
        <v>0.5</v>
      </c>
      <c r="W163" s="325">
        <v>8.6781670000000144</v>
      </c>
      <c r="X163" s="325">
        <v>0</v>
      </c>
      <c r="Y163" s="325">
        <v>8.390815000000007E-2</v>
      </c>
      <c r="Z163" s="325">
        <f t="shared" si="5"/>
        <v>8.390815000000007</v>
      </c>
    </row>
    <row r="164" spans="15:26">
      <c r="O164" s="322"/>
      <c r="P164" s="322" t="s">
        <v>753</v>
      </c>
      <c r="Q164" s="325">
        <v>4.0217580000000002</v>
      </c>
      <c r="R164" s="325">
        <v>1.114751</v>
      </c>
      <c r="S164" s="325">
        <v>-1.04298</v>
      </c>
      <c r="T164" s="325">
        <v>-4.0935370000000004</v>
      </c>
      <c r="U164" s="322"/>
      <c r="V164" s="325">
        <f t="shared" si="4"/>
        <v>0.5</v>
      </c>
      <c r="W164" s="325">
        <v>9.3696819999999903</v>
      </c>
      <c r="X164" s="325">
        <v>0</v>
      </c>
      <c r="Y164" s="325">
        <v>9.1865740000000029E-2</v>
      </c>
      <c r="Z164" s="325">
        <f t="shared" si="5"/>
        <v>9.1865740000000038</v>
      </c>
    </row>
    <row r="165" spans="15:26">
      <c r="O165" s="322"/>
      <c r="P165" s="322" t="s">
        <v>754</v>
      </c>
      <c r="Q165" s="325">
        <v>3.9637509999999998</v>
      </c>
      <c r="R165" s="325">
        <v>1.177808</v>
      </c>
      <c r="S165" s="325">
        <v>-0.97878710000000002</v>
      </c>
      <c r="T165" s="325">
        <v>-4.1627720000000004</v>
      </c>
      <c r="U165" s="322"/>
      <c r="V165" s="325">
        <f t="shared" si="4"/>
        <v>0.5</v>
      </c>
      <c r="W165" s="325">
        <v>9.8903350000000056</v>
      </c>
      <c r="X165" s="325">
        <v>0</v>
      </c>
      <c r="Y165" s="325">
        <v>9.777616999999994E-2</v>
      </c>
      <c r="Z165" s="325">
        <f t="shared" si="5"/>
        <v>9.777616999999994</v>
      </c>
    </row>
    <row r="166" spans="15:26">
      <c r="O166" s="322"/>
      <c r="P166" s="322" t="s">
        <v>755</v>
      </c>
      <c r="Q166" s="325">
        <v>3.9541789999999999</v>
      </c>
      <c r="R166" s="325">
        <v>1.2153149999999999</v>
      </c>
      <c r="S166" s="325">
        <v>-0.95447550000000003</v>
      </c>
      <c r="T166" s="325">
        <v>-4.2150179999999997</v>
      </c>
      <c r="U166" s="322"/>
      <c r="V166" s="325">
        <f t="shared" si="4"/>
        <v>0.5</v>
      </c>
      <c r="W166" s="325">
        <v>10.201188999999978</v>
      </c>
      <c r="X166" s="325">
        <v>0</v>
      </c>
      <c r="Y166" s="325">
        <v>0.10131870999999992</v>
      </c>
      <c r="Z166" s="325">
        <f t="shared" si="5"/>
        <v>10.131870999999993</v>
      </c>
    </row>
    <row r="167" spans="15:26">
      <c r="O167" s="322"/>
      <c r="P167" s="322" t="s">
        <v>756</v>
      </c>
      <c r="Q167" s="325">
        <v>4.0054090000000002</v>
      </c>
      <c r="R167" s="325">
        <v>1.170898</v>
      </c>
      <c r="S167" s="325">
        <v>-1.0057720000000001</v>
      </c>
      <c r="T167" s="325">
        <v>-4.1705360000000002</v>
      </c>
      <c r="U167" s="322"/>
      <c r="V167" s="325">
        <f t="shared" si="4"/>
        <v>0.5</v>
      </c>
      <c r="W167" s="325">
        <v>9.8197095000000179</v>
      </c>
      <c r="X167" s="325">
        <v>0</v>
      </c>
      <c r="Y167" s="325">
        <v>9.6552055000000081E-2</v>
      </c>
      <c r="Z167" s="325">
        <f t="shared" si="5"/>
        <v>9.6552055000000081</v>
      </c>
    </row>
    <row r="168" spans="15:26">
      <c r="O168" s="322"/>
      <c r="P168" s="322" t="s">
        <v>757</v>
      </c>
      <c r="Q168" s="325">
        <v>4.0448930000000001</v>
      </c>
      <c r="R168" s="325">
        <v>1.161278</v>
      </c>
      <c r="S168" s="325">
        <v>-1.0295650000000001</v>
      </c>
      <c r="T168" s="325">
        <v>-4.1765980000000003</v>
      </c>
      <c r="U168" s="322"/>
      <c r="V168" s="325">
        <f t="shared" si="4"/>
        <v>0.5</v>
      </c>
      <c r="W168" s="325">
        <v>9.7345704999999718</v>
      </c>
      <c r="X168" s="325">
        <v>0</v>
      </c>
      <c r="Y168" s="325">
        <v>9.562070499999975E-2</v>
      </c>
      <c r="Z168" s="325">
        <f t="shared" si="5"/>
        <v>9.5620704999999759</v>
      </c>
    </row>
    <row r="169" spans="15:26">
      <c r="O169" s="322"/>
      <c r="P169" s="322" t="s">
        <v>758</v>
      </c>
      <c r="Q169" s="325">
        <v>4.1232769999999999</v>
      </c>
      <c r="R169" s="325">
        <v>1.152509</v>
      </c>
      <c r="S169" s="325">
        <v>-1.0677140000000001</v>
      </c>
      <c r="T169" s="325">
        <v>-4.208081</v>
      </c>
      <c r="U169" s="322"/>
      <c r="V169" s="325">
        <f t="shared" si="4"/>
        <v>0.5</v>
      </c>
      <c r="W169" s="325">
        <v>9.7399470000000257</v>
      </c>
      <c r="X169" s="325">
        <v>0</v>
      </c>
      <c r="Y169" s="325">
        <v>9.5183250000000275E-2</v>
      </c>
      <c r="Z169" s="325">
        <f t="shared" si="5"/>
        <v>9.5183250000000275</v>
      </c>
    </row>
    <row r="170" spans="15:26">
      <c r="O170" s="322"/>
      <c r="P170" s="322" t="s">
        <v>759</v>
      </c>
      <c r="Q170" s="325">
        <v>4.2202149999999996</v>
      </c>
      <c r="R170" s="325">
        <v>1.1555089999999999</v>
      </c>
      <c r="S170" s="325">
        <v>-1.10812</v>
      </c>
      <c r="T170" s="325">
        <v>-4.26762</v>
      </c>
      <c r="U170" s="322"/>
      <c r="V170" s="325">
        <f t="shared" si="4"/>
        <v>0.5</v>
      </c>
      <c r="W170" s="325">
        <v>9.8531439999999684</v>
      </c>
      <c r="X170" s="325">
        <v>0</v>
      </c>
      <c r="Y170" s="325">
        <v>9.6311039999999792E-2</v>
      </c>
      <c r="Z170" s="325">
        <f t="shared" si="5"/>
        <v>9.6311039999999792</v>
      </c>
    </row>
    <row r="171" spans="15:26">
      <c r="O171" s="322"/>
      <c r="P171" s="322" t="s">
        <v>760</v>
      </c>
      <c r="Q171" s="325">
        <v>4.2088099999999997</v>
      </c>
      <c r="R171" s="325">
        <v>1.1118300000000001</v>
      </c>
      <c r="S171" s="325">
        <v>-1.1282399999999999</v>
      </c>
      <c r="T171" s="325">
        <v>-4.1924089999999996</v>
      </c>
      <c r="U171" s="322"/>
      <c r="V171" s="325">
        <f t="shared" si="4"/>
        <v>0.5</v>
      </c>
      <c r="W171" s="325">
        <v>9.5311065000000195</v>
      </c>
      <c r="X171" s="325">
        <v>0</v>
      </c>
      <c r="Y171" s="325">
        <v>9.2114985000000038E-2</v>
      </c>
      <c r="Z171" s="325">
        <f t="shared" si="5"/>
        <v>9.2114985000000047</v>
      </c>
    </row>
    <row r="172" spans="15:26">
      <c r="O172" s="322"/>
      <c r="P172" s="322" t="s">
        <v>761</v>
      </c>
      <c r="Q172" s="325">
        <v>4.2091279999999998</v>
      </c>
      <c r="R172" s="325">
        <v>1.111664</v>
      </c>
      <c r="S172" s="325">
        <v>-1.132725</v>
      </c>
      <c r="T172" s="325">
        <v>-4.1880750000000004</v>
      </c>
      <c r="U172" s="322"/>
      <c r="V172" s="325">
        <f t="shared" si="4"/>
        <v>0.5</v>
      </c>
      <c r="W172" s="325">
        <v>9.4974679999999978</v>
      </c>
      <c r="X172" s="325">
        <v>0</v>
      </c>
      <c r="Y172" s="325">
        <v>9.1855540000000069E-2</v>
      </c>
      <c r="Z172" s="325">
        <f t="shared" si="5"/>
        <v>9.1855540000000069</v>
      </c>
    </row>
    <row r="173" spans="15:26">
      <c r="O173" s="322"/>
      <c r="P173" s="322" t="s">
        <v>762</v>
      </c>
      <c r="Q173" s="325">
        <v>4.2467969999999999</v>
      </c>
      <c r="R173" s="325">
        <v>1.0912539999999999</v>
      </c>
      <c r="S173" s="325">
        <v>-1.164628</v>
      </c>
      <c r="T173" s="325">
        <v>-4.1734400000000003</v>
      </c>
      <c r="U173" s="322"/>
      <c r="V173" s="325">
        <f t="shared" si="4"/>
        <v>0.5</v>
      </c>
      <c r="W173" s="325">
        <v>9.2855515000000111</v>
      </c>
      <c r="X173" s="325">
        <v>0</v>
      </c>
      <c r="Y173" s="325">
        <v>8.9650975000000299E-2</v>
      </c>
      <c r="Z173" s="325">
        <f t="shared" si="5"/>
        <v>8.9650975000000308</v>
      </c>
    </row>
    <row r="174" spans="15:26">
      <c r="O174" s="322"/>
      <c r="P174" s="322">
        <v>2012</v>
      </c>
      <c r="Q174" s="325">
        <v>4.2410860000000001</v>
      </c>
      <c r="R174" s="325">
        <v>1.1185369999999999</v>
      </c>
      <c r="S174" s="325">
        <v>-1.150455</v>
      </c>
      <c r="T174" s="325">
        <v>-4.2091770000000004</v>
      </c>
      <c r="U174" s="322"/>
      <c r="V174" s="325">
        <f t="shared" si="4"/>
        <v>0.5</v>
      </c>
      <c r="W174" s="325">
        <v>9.5104169999999932</v>
      </c>
      <c r="X174" s="325">
        <v>0</v>
      </c>
      <c r="Y174" s="325">
        <v>9.2519449999999948E-2</v>
      </c>
      <c r="Z174" s="325">
        <f t="shared" si="5"/>
        <v>9.2519449999999956</v>
      </c>
    </row>
    <row r="175" spans="15:26">
      <c r="O175" s="322"/>
      <c r="P175" s="322" t="s">
        <v>763</v>
      </c>
      <c r="Q175" s="325">
        <v>4.1687130000000003</v>
      </c>
      <c r="R175" s="325">
        <v>1.133424</v>
      </c>
      <c r="S175" s="325">
        <v>-1.1006469999999999</v>
      </c>
      <c r="T175" s="325">
        <v>-4.2014889999999996</v>
      </c>
      <c r="U175" s="322"/>
      <c r="V175" s="325">
        <f t="shared" si="4"/>
        <v>0.5</v>
      </c>
      <c r="W175" s="325">
        <v>9.7150674999999964</v>
      </c>
      <c r="X175" s="325">
        <v>0</v>
      </c>
      <c r="Y175" s="325">
        <v>9.4503434999999802E-2</v>
      </c>
      <c r="Z175" s="325">
        <f t="shared" si="5"/>
        <v>9.4503434999999811</v>
      </c>
    </row>
    <row r="176" spans="15:26">
      <c r="O176" s="322"/>
      <c r="P176" s="322" t="s">
        <v>764</v>
      </c>
      <c r="Q176" s="325">
        <v>4.0951089999999999</v>
      </c>
      <c r="R176" s="325">
        <v>1.173019</v>
      </c>
      <c r="S176" s="325">
        <v>-1.0363389999999999</v>
      </c>
      <c r="T176" s="325">
        <v>-4.2317970000000003</v>
      </c>
      <c r="U176" s="322"/>
      <c r="V176" s="325">
        <f t="shared" si="4"/>
        <v>0.5</v>
      </c>
      <c r="W176" s="325">
        <v>10.115554500000034</v>
      </c>
      <c r="X176" s="325">
        <v>0</v>
      </c>
      <c r="Y176" s="325">
        <v>9.8559465000000124E-2</v>
      </c>
      <c r="Z176" s="325">
        <f t="shared" si="5"/>
        <v>9.8559465000000124</v>
      </c>
    </row>
    <row r="177" spans="15:26">
      <c r="O177" s="322"/>
      <c r="P177" s="322" t="s">
        <v>765</v>
      </c>
      <c r="Q177" s="325">
        <v>4.07524</v>
      </c>
      <c r="R177" s="325">
        <v>1.1813530000000001</v>
      </c>
      <c r="S177" s="325">
        <v>-1.0234369999999999</v>
      </c>
      <c r="T177" s="325">
        <v>-4.2331709999999996</v>
      </c>
      <c r="U177" s="322"/>
      <c r="V177" s="325">
        <f t="shared" si="4"/>
        <v>0.5</v>
      </c>
      <c r="W177" s="325">
        <v>10.197517000000023</v>
      </c>
      <c r="X177" s="325">
        <v>0</v>
      </c>
      <c r="Y177" s="325">
        <v>9.9667890000000092E-2</v>
      </c>
      <c r="Z177" s="325">
        <f t="shared" si="5"/>
        <v>9.9667890000000092</v>
      </c>
    </row>
    <row r="178" spans="15:26">
      <c r="O178" s="322"/>
      <c r="P178" s="322" t="s">
        <v>766</v>
      </c>
      <c r="Q178" s="325">
        <v>4.0901630000000004</v>
      </c>
      <c r="R178" s="325">
        <v>1.151813</v>
      </c>
      <c r="S178" s="325">
        <v>-1.0487120000000001</v>
      </c>
      <c r="T178" s="325">
        <v>-4.1932549999999997</v>
      </c>
      <c r="U178" s="322"/>
      <c r="V178" s="325">
        <f t="shared" si="4"/>
        <v>0.5</v>
      </c>
      <c r="W178" s="325">
        <v>9.9506719999999937</v>
      </c>
      <c r="X178" s="325">
        <v>0</v>
      </c>
      <c r="Y178" s="325">
        <v>9.6640199999999954E-2</v>
      </c>
      <c r="Z178" s="325">
        <f t="shared" si="5"/>
        <v>9.6640199999999954</v>
      </c>
    </row>
    <row r="179" spans="15:26">
      <c r="O179" s="322"/>
      <c r="P179" s="322" t="s">
        <v>767</v>
      </c>
      <c r="Q179" s="325">
        <v>4.1564819999999996</v>
      </c>
      <c r="R179" s="325">
        <v>1.1265890000000001</v>
      </c>
      <c r="S179" s="325">
        <v>-1.1036809999999999</v>
      </c>
      <c r="T179" s="325">
        <v>-4.1793740000000001</v>
      </c>
      <c r="U179" s="322"/>
      <c r="V179" s="325">
        <f t="shared" si="4"/>
        <v>0.5</v>
      </c>
      <c r="W179" s="325">
        <v>9.6472644999999968</v>
      </c>
      <c r="X179" s="325">
        <v>0</v>
      </c>
      <c r="Y179" s="325">
        <v>9.2813824999999905E-2</v>
      </c>
      <c r="Z179" s="325">
        <f t="shared" si="5"/>
        <v>9.2813824999999905</v>
      </c>
    </row>
    <row r="180" spans="15:26">
      <c r="O180" s="322"/>
      <c r="P180" s="322" t="s">
        <v>768</v>
      </c>
      <c r="Q180" s="325">
        <v>4.1969060000000002</v>
      </c>
      <c r="R180" s="325">
        <v>1.1192230000000001</v>
      </c>
      <c r="S180" s="325">
        <v>-1.1371450000000001</v>
      </c>
      <c r="T180" s="325">
        <v>-4.1790000000000003</v>
      </c>
      <c r="U180" s="322"/>
      <c r="V180" s="325">
        <f t="shared" si="4"/>
        <v>0.5</v>
      </c>
      <c r="W180" s="325">
        <v>9.5149880000000344</v>
      </c>
      <c r="X180" s="325">
        <v>0</v>
      </c>
      <c r="Y180" s="325">
        <v>9.1742860000000315E-2</v>
      </c>
      <c r="Z180" s="325">
        <f t="shared" si="5"/>
        <v>9.1742860000000306</v>
      </c>
    </row>
    <row r="181" spans="15:26">
      <c r="O181" s="322"/>
      <c r="P181" s="322" t="s">
        <v>769</v>
      </c>
      <c r="Q181" s="325">
        <v>4.2225070000000002</v>
      </c>
      <c r="R181" s="325">
        <v>1.1653789999999999</v>
      </c>
      <c r="S181" s="325">
        <v>-1.1186849999999999</v>
      </c>
      <c r="T181" s="325">
        <v>-4.269209</v>
      </c>
      <c r="U181" s="322"/>
      <c r="V181" s="325">
        <f t="shared" si="4"/>
        <v>0.5</v>
      </c>
      <c r="W181" s="325">
        <v>9.9209395000000367</v>
      </c>
      <c r="X181" s="325">
        <v>0</v>
      </c>
      <c r="Y181" s="325">
        <v>9.6884675000000309E-2</v>
      </c>
      <c r="Z181" s="325">
        <f t="shared" si="5"/>
        <v>9.68846750000003</v>
      </c>
    </row>
    <row r="182" spans="15:26">
      <c r="O182" s="322"/>
      <c r="P182" s="322" t="s">
        <v>770</v>
      </c>
      <c r="Q182" s="325">
        <v>4.2377789999999997</v>
      </c>
      <c r="R182" s="325">
        <v>1.177289</v>
      </c>
      <c r="S182" s="325">
        <v>-1.1092820000000001</v>
      </c>
      <c r="T182" s="325">
        <v>-4.3057850000000002</v>
      </c>
      <c r="U182" s="322"/>
      <c r="V182" s="325">
        <f t="shared" si="4"/>
        <v>0.5</v>
      </c>
      <c r="W182" s="325">
        <v>10.119858499999989</v>
      </c>
      <c r="X182" s="325">
        <v>0</v>
      </c>
      <c r="Y182" s="325">
        <v>9.861666499999977E-2</v>
      </c>
      <c r="Z182" s="325">
        <f t="shared" si="5"/>
        <v>9.861666499999977</v>
      </c>
    </row>
    <row r="183" spans="15:26">
      <c r="O183" s="322"/>
      <c r="P183" s="322" t="s">
        <v>771</v>
      </c>
      <c r="Q183" s="325">
        <v>4.2262959999999996</v>
      </c>
      <c r="R183" s="325">
        <v>1.147391</v>
      </c>
      <c r="S183" s="325">
        <v>-1.123035</v>
      </c>
      <c r="T183" s="325">
        <v>-4.2506589999999997</v>
      </c>
      <c r="U183" s="322"/>
      <c r="V183" s="325">
        <f t="shared" si="4"/>
        <v>0.5</v>
      </c>
      <c r="W183" s="325">
        <v>9.9223920000000021</v>
      </c>
      <c r="X183" s="325">
        <v>0</v>
      </c>
      <c r="Y183" s="325">
        <v>9.6024219999999882E-2</v>
      </c>
      <c r="Z183" s="325">
        <f t="shared" si="5"/>
        <v>9.6024219999999882</v>
      </c>
    </row>
    <row r="184" spans="15:26">
      <c r="O184" s="322"/>
      <c r="P184" s="322" t="s">
        <v>772</v>
      </c>
      <c r="Q184" s="325">
        <v>4.2828179999999998</v>
      </c>
      <c r="R184" s="325">
        <v>1.0986260000000001</v>
      </c>
      <c r="S184" s="325">
        <v>-1.180129</v>
      </c>
      <c r="T184" s="325">
        <v>-4.2013230000000004</v>
      </c>
      <c r="U184" s="322"/>
      <c r="V184" s="325">
        <f t="shared" si="4"/>
        <v>0.5</v>
      </c>
      <c r="W184" s="325">
        <v>9.514699499999967</v>
      </c>
      <c r="X184" s="325">
        <v>0</v>
      </c>
      <c r="Y184" s="325">
        <v>9.1397934999999819E-2</v>
      </c>
      <c r="Z184" s="325">
        <f t="shared" si="5"/>
        <v>9.1397934999999819</v>
      </c>
    </row>
    <row r="185" spans="15:26">
      <c r="O185" s="322"/>
      <c r="P185" s="322" t="s">
        <v>773</v>
      </c>
      <c r="Q185" s="325">
        <v>4.3200659999999997</v>
      </c>
      <c r="R185" s="325">
        <v>1.086096</v>
      </c>
      <c r="S185" s="325">
        <v>-1.2051940000000001</v>
      </c>
      <c r="T185" s="325">
        <v>-4.2009600000000002</v>
      </c>
      <c r="U185" s="322"/>
      <c r="V185" s="325">
        <f t="shared" si="4"/>
        <v>0.5</v>
      </c>
      <c r="W185" s="325">
        <v>9.3785259999999973</v>
      </c>
      <c r="X185" s="325">
        <v>0</v>
      </c>
      <c r="Y185" s="325">
        <v>9.0127040000000047E-2</v>
      </c>
      <c r="Z185" s="325">
        <f t="shared" si="5"/>
        <v>9.0127040000000047</v>
      </c>
    </row>
    <row r="186" spans="15:26">
      <c r="O186" s="322"/>
      <c r="P186" s="322">
        <v>2013</v>
      </c>
      <c r="Q186" s="325">
        <v>4.3272930000000001</v>
      </c>
      <c r="R186" s="325">
        <v>1.085394</v>
      </c>
      <c r="S186" s="325">
        <v>-1.2142090000000001</v>
      </c>
      <c r="T186" s="325">
        <v>-4.1984779999999997</v>
      </c>
      <c r="U186" s="322"/>
      <c r="V186" s="325">
        <f t="shared" si="4"/>
        <v>0.5</v>
      </c>
      <c r="W186" s="325">
        <v>9.3826854999999867</v>
      </c>
      <c r="X186" s="325">
        <v>0</v>
      </c>
      <c r="Y186" s="325">
        <v>9.0066374999999921E-2</v>
      </c>
      <c r="Z186" s="325">
        <f t="shared" si="5"/>
        <v>9.006637499999993</v>
      </c>
    </row>
    <row r="187" spans="15:26">
      <c r="O187" s="322"/>
      <c r="P187" s="322" t="s">
        <v>774</v>
      </c>
      <c r="Q187" s="325">
        <v>4.2492570000000001</v>
      </c>
      <c r="R187" s="325">
        <v>1.1448199999999999</v>
      </c>
      <c r="S187" s="325">
        <v>-1.140223</v>
      </c>
      <c r="T187" s="325">
        <v>-4.2538369999999999</v>
      </c>
      <c r="U187" s="322"/>
      <c r="V187" s="325">
        <f t="shared" si="4"/>
        <v>0.5</v>
      </c>
      <c r="W187" s="325">
        <v>9.8912424999999971</v>
      </c>
      <c r="X187" s="325">
        <v>0</v>
      </c>
      <c r="Y187" s="325">
        <v>9.5993505000000034E-2</v>
      </c>
      <c r="Z187" s="325">
        <f t="shared" si="5"/>
        <v>9.5993505000000034</v>
      </c>
    </row>
    <row r="188" spans="15:26">
      <c r="O188" s="322"/>
      <c r="P188" s="322" t="s">
        <v>775</v>
      </c>
      <c r="Q188" s="325">
        <v>4.2135730000000002</v>
      </c>
      <c r="R188" s="325">
        <v>1.137211</v>
      </c>
      <c r="S188" s="325">
        <v>-1.1247910000000001</v>
      </c>
      <c r="T188" s="325">
        <v>-4.2260020000000003</v>
      </c>
      <c r="U188" s="322"/>
      <c r="V188" s="325">
        <f t="shared" si="4"/>
        <v>0.5</v>
      </c>
      <c r="W188" s="325">
        <v>9.8663700000000141</v>
      </c>
      <c r="X188" s="325">
        <v>0</v>
      </c>
      <c r="Y188" s="325">
        <v>9.5200940000000012E-2</v>
      </c>
      <c r="Z188" s="325">
        <f t="shared" si="5"/>
        <v>9.5200940000000003</v>
      </c>
    </row>
    <row r="189" spans="15:26">
      <c r="O189" s="322"/>
      <c r="P189" s="322" t="s">
        <v>776</v>
      </c>
      <c r="Q189" s="325">
        <v>4.243595</v>
      </c>
      <c r="R189" s="325">
        <v>1.1116410000000001</v>
      </c>
      <c r="S189" s="325">
        <v>-1.1593659999999999</v>
      </c>
      <c r="T189" s="325">
        <v>-4.1958630000000001</v>
      </c>
      <c r="U189" s="322"/>
      <c r="V189" s="325">
        <f t="shared" si="4"/>
        <v>0.5</v>
      </c>
      <c r="W189" s="325">
        <v>9.6382660000000175</v>
      </c>
      <c r="X189" s="325">
        <v>0</v>
      </c>
      <c r="Y189" s="325">
        <v>9.2191560000000061E-2</v>
      </c>
      <c r="Z189" s="325">
        <f t="shared" si="5"/>
        <v>9.2191560000000052</v>
      </c>
    </row>
    <row r="190" spans="15:26">
      <c r="O190" s="322"/>
      <c r="P190" s="322" t="s">
        <v>777</v>
      </c>
      <c r="Q190" s="325">
        <v>4.2371499999999997</v>
      </c>
      <c r="R190" s="325">
        <v>1.116822</v>
      </c>
      <c r="S190" s="325">
        <v>-1.160957</v>
      </c>
      <c r="T190" s="325">
        <v>-4.1930230000000002</v>
      </c>
      <c r="U190" s="322"/>
      <c r="V190" s="325">
        <f t="shared" si="4"/>
        <v>0.5</v>
      </c>
      <c r="W190" s="325">
        <v>9.630967999999962</v>
      </c>
      <c r="X190" s="325">
        <v>0</v>
      </c>
      <c r="Y190" s="325">
        <v>9.2198759999999824E-2</v>
      </c>
      <c r="Z190" s="325">
        <f t="shared" si="5"/>
        <v>9.2198759999999815</v>
      </c>
    </row>
    <row r="191" spans="15:26">
      <c r="O191" s="322"/>
      <c r="P191" s="322" t="s">
        <v>778</v>
      </c>
      <c r="Q191" s="325">
        <v>4.2848160000000002</v>
      </c>
      <c r="R191" s="325">
        <v>1.1419360000000001</v>
      </c>
      <c r="S191" s="325">
        <v>-1.172728</v>
      </c>
      <c r="T191" s="325">
        <v>-4.254016</v>
      </c>
      <c r="U191" s="322"/>
      <c r="V191" s="325">
        <f t="shared" si="4"/>
        <v>0.5</v>
      </c>
      <c r="W191" s="325">
        <v>9.77887850000001</v>
      </c>
      <c r="X191" s="325">
        <v>0</v>
      </c>
      <c r="Y191" s="325">
        <v>9.4108905000000131E-2</v>
      </c>
      <c r="Z191" s="325">
        <f t="shared" si="5"/>
        <v>9.4108905000000131</v>
      </c>
    </row>
    <row r="192" spans="15:26">
      <c r="O192" s="322"/>
      <c r="P192" s="322" t="s">
        <v>779</v>
      </c>
      <c r="Q192" s="325">
        <v>4.3040750000000001</v>
      </c>
      <c r="R192" s="325">
        <v>1.150139</v>
      </c>
      <c r="S192" s="325">
        <v>-1.1788000000000001</v>
      </c>
      <c r="T192" s="325">
        <v>-4.2754060000000003</v>
      </c>
      <c r="U192" s="322"/>
      <c r="V192" s="325">
        <f t="shared" si="4"/>
        <v>0.5</v>
      </c>
      <c r="W192" s="325">
        <v>9.8116965</v>
      </c>
      <c r="X192" s="325">
        <v>0</v>
      </c>
      <c r="Y192" s="325">
        <v>9.4840244999999879E-2</v>
      </c>
      <c r="Z192" s="325">
        <f t="shared" si="5"/>
        <v>9.4840244999999879</v>
      </c>
    </row>
    <row r="193" spans="15:26">
      <c r="O193" s="322"/>
      <c r="P193" s="322" t="s">
        <v>780</v>
      </c>
      <c r="Q193" s="325">
        <v>4.3677590000000004</v>
      </c>
      <c r="R193" s="325">
        <v>1.1545289999999999</v>
      </c>
      <c r="S193" s="325">
        <v>-1.2086300000000001</v>
      </c>
      <c r="T193" s="325">
        <v>-4.3136489999999998</v>
      </c>
      <c r="U193" s="322"/>
      <c r="V193" s="325">
        <f t="shared" si="4"/>
        <v>0.5</v>
      </c>
      <c r="W193" s="325">
        <v>9.8112595000000127</v>
      </c>
      <c r="X193" s="325">
        <v>0</v>
      </c>
      <c r="Y193" s="325">
        <v>9.4857255000000196E-2</v>
      </c>
      <c r="Z193" s="325">
        <f t="shared" si="5"/>
        <v>9.4857255000000187</v>
      </c>
    </row>
    <row r="194" spans="15:26">
      <c r="O194" s="322"/>
      <c r="P194" s="322" t="s">
        <v>781</v>
      </c>
      <c r="Q194" s="325">
        <v>4.4078290000000004</v>
      </c>
      <c r="R194" s="325">
        <v>1.1370469999999999</v>
      </c>
      <c r="S194" s="325">
        <v>-1.227911</v>
      </c>
      <c r="T194" s="325">
        <v>-4.3169560000000002</v>
      </c>
      <c r="U194" s="322"/>
      <c r="V194" s="325">
        <f t="shared" si="4"/>
        <v>0.5</v>
      </c>
      <c r="W194" s="325">
        <v>9.7516025000000219</v>
      </c>
      <c r="X194" s="325">
        <v>0</v>
      </c>
      <c r="Y194" s="325">
        <v>9.3363925000000014E-2</v>
      </c>
      <c r="Z194" s="325">
        <f t="shared" si="5"/>
        <v>9.3363925000000023</v>
      </c>
    </row>
    <row r="195" spans="15:26">
      <c r="O195" s="322"/>
      <c r="P195" s="322" t="s">
        <v>782</v>
      </c>
      <c r="Q195" s="325">
        <v>4.4163699999999997</v>
      </c>
      <c r="R195" s="325">
        <v>1.0968199999999999</v>
      </c>
      <c r="S195" s="325">
        <v>-1.2573080000000001</v>
      </c>
      <c r="T195" s="325">
        <v>-4.2558670000000003</v>
      </c>
      <c r="U195" s="322"/>
      <c r="V195" s="325">
        <f t="shared" si="4"/>
        <v>0.5</v>
      </c>
      <c r="W195" s="325">
        <v>9.4419119999999737</v>
      </c>
      <c r="X195" s="325">
        <v>0</v>
      </c>
      <c r="Y195" s="325">
        <v>8.9349159999999817E-2</v>
      </c>
      <c r="Z195" s="325">
        <f t="shared" si="5"/>
        <v>8.9349159999999817</v>
      </c>
    </row>
    <row r="196" spans="15:26">
      <c r="O196" s="322"/>
      <c r="P196" s="322" t="s">
        <v>783</v>
      </c>
      <c r="Q196" s="325">
        <v>4.4157359999999999</v>
      </c>
      <c r="R196" s="325">
        <v>1.0622769999999999</v>
      </c>
      <c r="S196" s="325">
        <v>-1.27183</v>
      </c>
      <c r="T196" s="325">
        <v>-4.2061909999999996</v>
      </c>
      <c r="U196" s="322"/>
      <c r="V196" s="325">
        <f t="shared" si="4"/>
        <v>0.5</v>
      </c>
      <c r="W196" s="325">
        <v>9.1886404999999662</v>
      </c>
      <c r="X196" s="325">
        <v>0</v>
      </c>
      <c r="Y196" s="325">
        <v>8.6308124999999736E-2</v>
      </c>
      <c r="Z196" s="325">
        <f t="shared" si="5"/>
        <v>8.6308124999999727</v>
      </c>
    </row>
    <row r="197" spans="15:26">
      <c r="O197" s="322"/>
      <c r="P197" s="322" t="s">
        <v>784</v>
      </c>
      <c r="Q197" s="325">
        <v>4.4572029999999998</v>
      </c>
      <c r="R197" s="325">
        <v>1.091521</v>
      </c>
      <c r="S197" s="325">
        <v>-1.271217</v>
      </c>
      <c r="T197" s="325">
        <v>-4.2775080000000001</v>
      </c>
      <c r="U197" s="322"/>
      <c r="V197" s="325">
        <f t="shared" si="4"/>
        <v>0.5</v>
      </c>
      <c r="W197" s="325">
        <v>9.4222665000000418</v>
      </c>
      <c r="X197" s="325">
        <v>0</v>
      </c>
      <c r="Y197" s="325">
        <v>8.9821845000000344E-2</v>
      </c>
      <c r="Z197" s="325">
        <f t="shared" si="5"/>
        <v>8.9821845000000344</v>
      </c>
    </row>
    <row r="198" spans="15:26">
      <c r="O198" s="322"/>
      <c r="P198" s="322">
        <v>2014</v>
      </c>
      <c r="Q198" s="325">
        <v>4.5117710000000004</v>
      </c>
      <c r="R198" s="325">
        <v>1.121885</v>
      </c>
      <c r="S198" s="325">
        <v>-1.2840480000000001</v>
      </c>
      <c r="T198" s="325">
        <v>-4.3496160000000001</v>
      </c>
      <c r="U198" s="322"/>
      <c r="V198" s="325">
        <f t="shared" ref="V198:V261" si="6">(X198/6+1)/2</f>
        <v>0.5</v>
      </c>
      <c r="W198" s="325">
        <v>9.6611894999999883</v>
      </c>
      <c r="X198" s="325">
        <v>0</v>
      </c>
      <c r="Y198" s="325">
        <v>9.2359115000000047E-2</v>
      </c>
      <c r="Z198" s="325">
        <f t="shared" ref="Z198:Z261" si="7">Y198*100</f>
        <v>9.2359115000000038</v>
      </c>
    </row>
    <row r="199" spans="15:26">
      <c r="O199" s="322"/>
      <c r="P199" s="322" t="s">
        <v>785</v>
      </c>
      <c r="Q199" s="325">
        <v>4.4831839999999996</v>
      </c>
      <c r="R199" s="325">
        <v>1.1216710000000001</v>
      </c>
      <c r="S199" s="325">
        <v>-1.272195</v>
      </c>
      <c r="T199" s="325">
        <v>-4.3326599999999997</v>
      </c>
      <c r="U199" s="322"/>
      <c r="V199" s="325">
        <f t="shared" si="6"/>
        <v>0.5</v>
      </c>
      <c r="W199" s="325">
        <v>9.686337499999965</v>
      </c>
      <c r="X199" s="325">
        <v>0</v>
      </c>
      <c r="Y199" s="325">
        <v>9.2279014999999687E-2</v>
      </c>
      <c r="Z199" s="325">
        <f t="shared" si="7"/>
        <v>9.2279014999999696</v>
      </c>
    </row>
    <row r="200" spans="15:26">
      <c r="O200" s="322"/>
      <c r="P200" s="322" t="s">
        <v>786</v>
      </c>
      <c r="Q200" s="325">
        <v>4.4431599999999998</v>
      </c>
      <c r="R200" s="325">
        <v>1.1552519999999999</v>
      </c>
      <c r="S200" s="325">
        <v>-1.246604</v>
      </c>
      <c r="T200" s="325">
        <v>-4.3518239999999997</v>
      </c>
      <c r="U200" s="322"/>
      <c r="V200" s="325">
        <f t="shared" si="6"/>
        <v>0.5</v>
      </c>
      <c r="W200" s="325">
        <v>9.9518845000000198</v>
      </c>
      <c r="X200" s="325">
        <v>0</v>
      </c>
      <c r="Y200" s="325">
        <v>9.5731745000000146E-2</v>
      </c>
      <c r="Z200" s="325">
        <f t="shared" si="7"/>
        <v>9.5731745000000146</v>
      </c>
    </row>
    <row r="201" spans="15:26">
      <c r="O201" s="322"/>
      <c r="P201" s="322" t="s">
        <v>787</v>
      </c>
      <c r="Q201" s="325">
        <v>4.3746660000000004</v>
      </c>
      <c r="R201" s="325">
        <v>1.158981</v>
      </c>
      <c r="S201" s="325">
        <v>-1.2161660000000001</v>
      </c>
      <c r="T201" s="325">
        <v>-4.3174729999999997</v>
      </c>
      <c r="U201" s="322"/>
      <c r="V201" s="325">
        <f t="shared" si="6"/>
        <v>0.5</v>
      </c>
      <c r="W201" s="325">
        <v>10.039921499999993</v>
      </c>
      <c r="X201" s="325">
        <v>0</v>
      </c>
      <c r="Y201" s="325">
        <v>9.6975814999999965E-2</v>
      </c>
      <c r="Z201" s="325">
        <f t="shared" si="7"/>
        <v>9.6975814999999965</v>
      </c>
    </row>
    <row r="202" spans="15:26">
      <c r="O202" s="322"/>
      <c r="P202" s="322" t="s">
        <v>788</v>
      </c>
      <c r="Q202" s="325">
        <v>4.3940720000000004</v>
      </c>
      <c r="R202" s="325">
        <v>1.1615660000000001</v>
      </c>
      <c r="S202" s="325">
        <v>-1.235209</v>
      </c>
      <c r="T202" s="325">
        <v>-4.3204209999999996</v>
      </c>
      <c r="U202" s="322"/>
      <c r="V202" s="325">
        <f t="shared" si="6"/>
        <v>0.5</v>
      </c>
      <c r="W202" s="325">
        <v>10.029925999999989</v>
      </c>
      <c r="X202" s="325">
        <v>0</v>
      </c>
      <c r="Y202" s="325">
        <v>9.6498799999999774E-2</v>
      </c>
      <c r="Z202" s="325">
        <f t="shared" si="7"/>
        <v>9.6498799999999783</v>
      </c>
    </row>
    <row r="203" spans="15:26">
      <c r="O203" s="322"/>
      <c r="P203" s="322" t="s">
        <v>789</v>
      </c>
      <c r="Q203" s="325">
        <v>4.4718330000000002</v>
      </c>
      <c r="R203" s="325">
        <v>1.191017</v>
      </c>
      <c r="S203" s="325">
        <v>-1.2605930000000001</v>
      </c>
      <c r="T203" s="325">
        <v>-4.4022569999999996</v>
      </c>
      <c r="U203" s="322"/>
      <c r="V203" s="325">
        <f t="shared" si="6"/>
        <v>0.5</v>
      </c>
      <c r="W203" s="325">
        <v>10.218561999999999</v>
      </c>
      <c r="X203" s="325">
        <v>0</v>
      </c>
      <c r="Y203" s="325">
        <v>9.8392940000000095E-2</v>
      </c>
      <c r="Z203" s="325">
        <f t="shared" si="7"/>
        <v>9.8392940000000095</v>
      </c>
    </row>
    <row r="204" spans="15:26">
      <c r="O204" s="322"/>
      <c r="P204" s="322" t="s">
        <v>790</v>
      </c>
      <c r="Q204" s="325">
        <v>4.5216669999999999</v>
      </c>
      <c r="R204" s="325">
        <v>1.1948179999999999</v>
      </c>
      <c r="S204" s="325">
        <v>-1.2825880000000001</v>
      </c>
      <c r="T204" s="325">
        <v>-4.433897</v>
      </c>
      <c r="U204" s="322"/>
      <c r="V204" s="325">
        <f t="shared" si="6"/>
        <v>0.5</v>
      </c>
      <c r="W204" s="325">
        <v>10.25062000000001</v>
      </c>
      <c r="X204" s="325">
        <v>0</v>
      </c>
      <c r="Y204" s="325">
        <v>9.8758060000000203E-2</v>
      </c>
      <c r="Z204" s="325">
        <f t="shared" si="7"/>
        <v>9.8758060000000203</v>
      </c>
    </row>
    <row r="205" spans="15:26">
      <c r="O205" s="322"/>
      <c r="P205" s="322" t="s">
        <v>791</v>
      </c>
      <c r="Q205" s="325">
        <v>4.6053360000000003</v>
      </c>
      <c r="R205" s="325">
        <v>1.175235</v>
      </c>
      <c r="S205" s="325">
        <v>-1.3264549999999999</v>
      </c>
      <c r="T205" s="325">
        <v>-4.4541240000000002</v>
      </c>
      <c r="U205" s="322"/>
      <c r="V205" s="325">
        <f t="shared" si="6"/>
        <v>0.5</v>
      </c>
      <c r="W205" s="325">
        <v>10.063770000000027</v>
      </c>
      <c r="X205" s="325">
        <v>0</v>
      </c>
      <c r="Y205" s="325">
        <v>9.6608060000000107E-2</v>
      </c>
      <c r="Z205" s="325">
        <f t="shared" si="7"/>
        <v>9.6608060000000116</v>
      </c>
    </row>
    <row r="206" spans="15:26">
      <c r="O206" s="322"/>
      <c r="P206" s="322" t="s">
        <v>792</v>
      </c>
      <c r="Q206" s="325">
        <v>4.641248</v>
      </c>
      <c r="R206" s="325">
        <v>1.163111</v>
      </c>
      <c r="S206" s="325">
        <v>-1.3461000000000001</v>
      </c>
      <c r="T206" s="325">
        <v>-4.4582509999999997</v>
      </c>
      <c r="U206" s="322"/>
      <c r="V206" s="325">
        <f t="shared" si="6"/>
        <v>0.5</v>
      </c>
      <c r="W206" s="325">
        <v>9.9616080000000107</v>
      </c>
      <c r="X206" s="325">
        <v>0</v>
      </c>
      <c r="Y206" s="325">
        <v>9.5177840000000069E-2</v>
      </c>
      <c r="Z206" s="325">
        <f t="shared" si="7"/>
        <v>9.517784000000006</v>
      </c>
    </row>
    <row r="207" spans="15:26">
      <c r="O207" s="322"/>
      <c r="P207" s="322" t="s">
        <v>793</v>
      </c>
      <c r="Q207" s="325">
        <v>4.6376619999999997</v>
      </c>
      <c r="R207" s="325">
        <v>1.0941540000000001</v>
      </c>
      <c r="S207" s="325">
        <v>-1.379753</v>
      </c>
      <c r="T207" s="325">
        <v>-4.3520789999999998</v>
      </c>
      <c r="U207" s="322"/>
      <c r="V207" s="325">
        <f t="shared" si="6"/>
        <v>0.5</v>
      </c>
      <c r="W207" s="325">
        <v>9.3963284999999619</v>
      </c>
      <c r="X207" s="325">
        <v>0</v>
      </c>
      <c r="Y207" s="325">
        <v>8.8417484999999907E-2</v>
      </c>
      <c r="Z207" s="325">
        <f t="shared" si="7"/>
        <v>8.8417484999999907</v>
      </c>
    </row>
    <row r="208" spans="15:26">
      <c r="O208" s="322"/>
      <c r="P208" s="322" t="s">
        <v>794</v>
      </c>
      <c r="Q208" s="325">
        <v>4.6985530000000004</v>
      </c>
      <c r="R208" s="325">
        <v>1.034867</v>
      </c>
      <c r="S208" s="325">
        <v>-1.439656</v>
      </c>
      <c r="T208" s="325">
        <v>-4.2937560000000001</v>
      </c>
      <c r="U208" s="322"/>
      <c r="V208" s="325">
        <f t="shared" si="6"/>
        <v>0.5</v>
      </c>
      <c r="W208" s="325">
        <v>8.8893330000000326</v>
      </c>
      <c r="X208" s="325">
        <v>0</v>
      </c>
      <c r="Y208" s="325">
        <v>8.2171690000000464E-2</v>
      </c>
      <c r="Z208" s="325">
        <f t="shared" si="7"/>
        <v>8.2171690000000464</v>
      </c>
    </row>
    <row r="209" spans="15:26">
      <c r="O209" s="322"/>
      <c r="P209" s="322" t="s">
        <v>795</v>
      </c>
      <c r="Q209" s="325">
        <v>4.8432620000000002</v>
      </c>
      <c r="R209" s="325">
        <v>1.0110619999999999</v>
      </c>
      <c r="S209" s="325">
        <v>-1.5294319999999999</v>
      </c>
      <c r="T209" s="325">
        <v>-4.3248930000000003</v>
      </c>
      <c r="U209" s="322"/>
      <c r="V209" s="325">
        <f t="shared" si="6"/>
        <v>0.5</v>
      </c>
      <c r="W209" s="325">
        <v>8.5863124999999698</v>
      </c>
      <c r="X209" s="325">
        <v>0</v>
      </c>
      <c r="Y209" s="325">
        <v>7.8293304999999869E-2</v>
      </c>
      <c r="Z209" s="325">
        <f t="shared" si="7"/>
        <v>7.8293304999999869</v>
      </c>
    </row>
    <row r="210" spans="15:26">
      <c r="O210" s="322"/>
      <c r="P210" s="322">
        <v>2015</v>
      </c>
      <c r="Q210" s="325">
        <v>4.9353199999999999</v>
      </c>
      <c r="R210" s="325">
        <v>0.91094699999999995</v>
      </c>
      <c r="S210" s="325">
        <v>-1.623178</v>
      </c>
      <c r="T210" s="325">
        <v>-4.2230730000000003</v>
      </c>
      <c r="U210" s="322"/>
      <c r="V210" s="325">
        <f t="shared" si="6"/>
        <v>0.5</v>
      </c>
      <c r="W210" s="325">
        <v>7.7605905000000419</v>
      </c>
      <c r="X210" s="325">
        <v>0</v>
      </c>
      <c r="Y210" s="325">
        <v>6.7575605000000261E-2</v>
      </c>
      <c r="Z210" s="325">
        <f t="shared" si="7"/>
        <v>6.7575605000000261</v>
      </c>
    </row>
    <row r="211" spans="15:26">
      <c r="O211" s="322"/>
      <c r="P211" s="322" t="s">
        <v>796</v>
      </c>
      <c r="Q211" s="325">
        <v>4.8725779999999999</v>
      </c>
      <c r="R211" s="325">
        <v>0.92082180000000002</v>
      </c>
      <c r="S211" s="325">
        <v>-1.5806180000000001</v>
      </c>
      <c r="T211" s="325">
        <v>-4.2127819999999998</v>
      </c>
      <c r="U211" s="322"/>
      <c r="V211" s="325">
        <f t="shared" si="6"/>
        <v>0.5</v>
      </c>
      <c r="W211" s="325">
        <v>7.9285480000000019</v>
      </c>
      <c r="X211" s="325">
        <v>0</v>
      </c>
      <c r="Y211" s="325">
        <v>6.9573920000000067E-2</v>
      </c>
      <c r="Z211" s="325">
        <f t="shared" si="7"/>
        <v>6.9573920000000067</v>
      </c>
    </row>
    <row r="212" spans="15:26">
      <c r="O212" s="322"/>
      <c r="P212" s="322" t="s">
        <v>797</v>
      </c>
      <c r="Q212" s="325">
        <v>4.7406550000000003</v>
      </c>
      <c r="R212" s="325">
        <v>0.94333560000000005</v>
      </c>
      <c r="S212" s="325">
        <v>-1.5060659999999999</v>
      </c>
      <c r="T212" s="325">
        <v>-4.1779159999999997</v>
      </c>
      <c r="U212" s="322"/>
      <c r="V212" s="325">
        <f t="shared" si="6"/>
        <v>0.5</v>
      </c>
      <c r="W212" s="325">
        <v>8.158489000000003</v>
      </c>
      <c r="X212" s="325">
        <v>0</v>
      </c>
      <c r="Y212" s="325">
        <v>7.2416990000000014E-2</v>
      </c>
      <c r="Z212" s="325">
        <f t="shared" si="7"/>
        <v>7.2416990000000014</v>
      </c>
    </row>
    <row r="213" spans="15:26">
      <c r="O213" s="322"/>
      <c r="P213" s="322" t="s">
        <v>798</v>
      </c>
      <c r="Q213" s="325">
        <v>4.7010449999999997</v>
      </c>
      <c r="R213" s="325">
        <v>0.93448690000000001</v>
      </c>
      <c r="S213" s="325">
        <v>-1.4947699999999999</v>
      </c>
      <c r="T213" s="325">
        <v>-4.1407689999999997</v>
      </c>
      <c r="U213" s="322"/>
      <c r="V213" s="325">
        <f t="shared" si="6"/>
        <v>0.5</v>
      </c>
      <c r="W213" s="325">
        <v>8.0949829999999992</v>
      </c>
      <c r="X213" s="325">
        <v>0</v>
      </c>
      <c r="Y213" s="325">
        <v>7.1617910000000062E-2</v>
      </c>
      <c r="Z213" s="325">
        <f t="shared" si="7"/>
        <v>7.1617910000000062</v>
      </c>
    </row>
    <row r="214" spans="15:26">
      <c r="O214" s="322"/>
      <c r="P214" s="322" t="s">
        <v>799</v>
      </c>
      <c r="Q214" s="325">
        <v>4.6320009999999998</v>
      </c>
      <c r="R214" s="325">
        <v>0.96936359999999999</v>
      </c>
      <c r="S214" s="325">
        <v>-1.4493229999999999</v>
      </c>
      <c r="T214" s="325">
        <v>-4.15205</v>
      </c>
      <c r="U214" s="322"/>
      <c r="V214" s="325">
        <f t="shared" si="6"/>
        <v>0.5</v>
      </c>
      <c r="W214" s="325">
        <v>8.4063199999999672</v>
      </c>
      <c r="X214" s="325">
        <v>0</v>
      </c>
      <c r="Y214" s="325">
        <v>7.5317499999999704E-2</v>
      </c>
      <c r="Z214" s="325">
        <f t="shared" si="7"/>
        <v>7.5317499999999704</v>
      </c>
    </row>
    <row r="215" spans="15:26">
      <c r="O215" s="322"/>
      <c r="P215" s="322" t="s">
        <v>800</v>
      </c>
      <c r="Q215" s="325">
        <v>4.6952999999999996</v>
      </c>
      <c r="R215" s="325">
        <v>0.99872740000000004</v>
      </c>
      <c r="S215" s="325">
        <v>-1.4695739999999999</v>
      </c>
      <c r="T215" s="325">
        <v>-4.2244440000000001</v>
      </c>
      <c r="U215" s="322"/>
      <c r="V215" s="325">
        <f t="shared" si="6"/>
        <v>0.5</v>
      </c>
      <c r="W215" s="325">
        <v>8.6139095000000054</v>
      </c>
      <c r="X215" s="325">
        <v>0</v>
      </c>
      <c r="Y215" s="325">
        <v>7.7478794999999989E-2</v>
      </c>
      <c r="Z215" s="325">
        <f t="shared" si="7"/>
        <v>7.7478794999999989</v>
      </c>
    </row>
    <row r="216" spans="15:26">
      <c r="O216" s="322"/>
      <c r="P216" s="322" t="s">
        <v>801</v>
      </c>
      <c r="Q216" s="325">
        <v>4.7271109999999998</v>
      </c>
      <c r="R216" s="325">
        <v>1.006502</v>
      </c>
      <c r="S216" s="325">
        <v>-1.4867170000000001</v>
      </c>
      <c r="T216" s="325">
        <v>-4.24688</v>
      </c>
      <c r="U216" s="322"/>
      <c r="V216" s="325">
        <f t="shared" si="6"/>
        <v>0.5</v>
      </c>
      <c r="W216" s="325">
        <v>8.6372070000000143</v>
      </c>
      <c r="X216" s="325">
        <v>0</v>
      </c>
      <c r="Y216" s="325">
        <v>7.7869489999999875E-2</v>
      </c>
      <c r="Z216" s="325">
        <f t="shared" si="7"/>
        <v>7.7869489999999875</v>
      </c>
    </row>
    <row r="217" spans="15:26">
      <c r="O217" s="322"/>
      <c r="P217" s="322" t="s">
        <v>802</v>
      </c>
      <c r="Q217" s="325">
        <v>4.832414</v>
      </c>
      <c r="R217" s="325">
        <v>0.99696830000000003</v>
      </c>
      <c r="S217" s="325">
        <v>-1.537865</v>
      </c>
      <c r="T217" s="325">
        <v>-4.2915159999999997</v>
      </c>
      <c r="U217" s="322"/>
      <c r="V217" s="325">
        <f t="shared" si="6"/>
        <v>0.5</v>
      </c>
      <c r="W217" s="325">
        <v>8.5161060000000113</v>
      </c>
      <c r="X217" s="325">
        <v>0</v>
      </c>
      <c r="Y217" s="325">
        <v>7.6571960000000105E-2</v>
      </c>
      <c r="Z217" s="325">
        <f t="shared" si="7"/>
        <v>7.6571960000000105</v>
      </c>
    </row>
    <row r="218" spans="15:26">
      <c r="O218" s="322"/>
      <c r="P218" s="322" t="s">
        <v>803</v>
      </c>
      <c r="Q218" s="325">
        <v>4.8986229999999997</v>
      </c>
      <c r="R218" s="325">
        <v>0.93319960000000002</v>
      </c>
      <c r="S218" s="325">
        <v>-1.598479</v>
      </c>
      <c r="T218" s="325">
        <v>-4.2333439999999998</v>
      </c>
      <c r="U218" s="322"/>
      <c r="V218" s="325">
        <f t="shared" si="6"/>
        <v>0.5</v>
      </c>
      <c r="W218" s="325">
        <v>7.9988680000000034</v>
      </c>
      <c r="X218" s="325">
        <v>0</v>
      </c>
      <c r="Y218" s="325">
        <v>7.0224780000000209E-2</v>
      </c>
      <c r="Z218" s="325">
        <f t="shared" si="7"/>
        <v>7.0224780000000209</v>
      </c>
    </row>
    <row r="219" spans="15:26">
      <c r="O219" s="322"/>
      <c r="P219" s="322" t="s">
        <v>804</v>
      </c>
      <c r="Q219" s="325">
        <v>4.8710190000000004</v>
      </c>
      <c r="R219" s="325">
        <v>0.89543720000000004</v>
      </c>
      <c r="S219" s="325">
        <v>-1.604938</v>
      </c>
      <c r="T219" s="325">
        <v>-4.1615190000000002</v>
      </c>
      <c r="U219" s="322"/>
      <c r="V219" s="325">
        <f t="shared" si="6"/>
        <v>0.5</v>
      </c>
      <c r="W219" s="325">
        <v>7.7146485000000098</v>
      </c>
      <c r="X219" s="325">
        <v>0</v>
      </c>
      <c r="Y219" s="325">
        <v>6.7002205000000092E-2</v>
      </c>
      <c r="Z219" s="325">
        <f t="shared" si="7"/>
        <v>6.7002205000000092</v>
      </c>
    </row>
    <row r="220" spans="15:26">
      <c r="O220" s="322"/>
      <c r="P220" s="322" t="s">
        <v>805</v>
      </c>
      <c r="Q220" s="325">
        <v>4.8824230000000002</v>
      </c>
      <c r="R220" s="325">
        <v>0.87413609999999997</v>
      </c>
      <c r="S220" s="325">
        <v>-1.618738</v>
      </c>
      <c r="T220" s="325">
        <v>-4.1378209999999997</v>
      </c>
      <c r="U220" s="322"/>
      <c r="V220" s="325">
        <f t="shared" si="6"/>
        <v>0.5</v>
      </c>
      <c r="W220" s="325">
        <v>7.5650160000000133</v>
      </c>
      <c r="X220" s="325">
        <v>0</v>
      </c>
      <c r="Y220" s="325">
        <v>6.5286500000000025E-2</v>
      </c>
      <c r="Z220" s="325">
        <f t="shared" si="7"/>
        <v>6.5286500000000025</v>
      </c>
    </row>
    <row r="221" spans="15:26">
      <c r="O221" s="322"/>
      <c r="P221" s="322" t="s">
        <v>806</v>
      </c>
      <c r="Q221" s="325">
        <v>4.9384430000000004</v>
      </c>
      <c r="R221" s="325">
        <v>0.86250070000000001</v>
      </c>
      <c r="S221" s="325">
        <v>-1.6507160000000001</v>
      </c>
      <c r="T221" s="325">
        <v>-4.1502369999999997</v>
      </c>
      <c r="U221" s="322"/>
      <c r="V221" s="325">
        <f t="shared" si="6"/>
        <v>0.5</v>
      </c>
      <c r="W221" s="325">
        <v>7.4454865000000092</v>
      </c>
      <c r="X221" s="325">
        <v>0</v>
      </c>
      <c r="Y221" s="325">
        <v>6.3951145000000098E-2</v>
      </c>
      <c r="Z221" s="325">
        <f t="shared" si="7"/>
        <v>6.3951145000000098</v>
      </c>
    </row>
    <row r="222" spans="15:26">
      <c r="O222" s="322"/>
      <c r="P222" s="322">
        <v>2016</v>
      </c>
      <c r="Q222" s="325">
        <v>4.928903</v>
      </c>
      <c r="R222" s="325">
        <v>0.83325919999999998</v>
      </c>
      <c r="S222" s="325">
        <v>-1.6756660000000001</v>
      </c>
      <c r="T222" s="325">
        <v>-4.0864789999999998</v>
      </c>
      <c r="U222" s="322"/>
      <c r="V222" s="325">
        <f t="shared" si="6"/>
        <v>0.5</v>
      </c>
      <c r="W222" s="325">
        <v>7.1297890000000086</v>
      </c>
      <c r="X222" s="325">
        <v>0</v>
      </c>
      <c r="Y222" s="325">
        <v>5.9525850000000213E-2</v>
      </c>
      <c r="Z222" s="325">
        <f t="shared" si="7"/>
        <v>5.9525850000000213</v>
      </c>
    </row>
    <row r="223" spans="15:26">
      <c r="O223" s="322"/>
      <c r="P223" s="322" t="s">
        <v>807</v>
      </c>
      <c r="Q223" s="325">
        <v>4.9234980000000004</v>
      </c>
      <c r="R223" s="325">
        <v>0.75551089999999999</v>
      </c>
      <c r="S223" s="325">
        <v>-1.7215800000000001</v>
      </c>
      <c r="T223" s="325">
        <v>-3.9574449999999999</v>
      </c>
      <c r="U223" s="322"/>
      <c r="V223" s="325">
        <f t="shared" si="6"/>
        <v>0.5</v>
      </c>
      <c r="W223" s="325">
        <v>6.4427940000000072</v>
      </c>
      <c r="X223" s="325">
        <v>0</v>
      </c>
      <c r="Y223" s="325">
        <v>4.8983219999999994E-2</v>
      </c>
      <c r="Z223" s="325">
        <f t="shared" si="7"/>
        <v>4.8983219999999994</v>
      </c>
    </row>
    <row r="224" spans="15:26">
      <c r="O224" s="322"/>
      <c r="P224" s="322" t="s">
        <v>808</v>
      </c>
      <c r="Q224" s="325">
        <v>4.839855</v>
      </c>
      <c r="R224" s="325">
        <v>0.79865569999999997</v>
      </c>
      <c r="S224" s="325">
        <v>-1.6468929999999999</v>
      </c>
      <c r="T224" s="325">
        <v>-3.9916100000000001</v>
      </c>
      <c r="U224" s="322"/>
      <c r="V224" s="325">
        <f t="shared" si="6"/>
        <v>0.5</v>
      </c>
      <c r="W224" s="325">
        <v>6.8908839999999971</v>
      </c>
      <c r="X224" s="325">
        <v>0</v>
      </c>
      <c r="Y224" s="325">
        <v>5.5695519999999998E-2</v>
      </c>
      <c r="Z224" s="325">
        <f t="shared" si="7"/>
        <v>5.5695519999999998</v>
      </c>
    </row>
    <row r="225" spans="15:26">
      <c r="O225" s="322"/>
      <c r="P225" s="322" t="s">
        <v>809</v>
      </c>
      <c r="Q225" s="325">
        <v>4.7824759999999999</v>
      </c>
      <c r="R225" s="325">
        <v>0.84182999999999997</v>
      </c>
      <c r="S225" s="325">
        <v>-1.5893139999999999</v>
      </c>
      <c r="T225" s="325">
        <v>-4.0350010000000003</v>
      </c>
      <c r="U225" s="322"/>
      <c r="V225" s="325">
        <f t="shared" si="6"/>
        <v>0.5</v>
      </c>
      <c r="W225" s="325">
        <v>7.3131554999999793</v>
      </c>
      <c r="X225" s="325">
        <v>0</v>
      </c>
      <c r="Y225" s="325">
        <v>6.1045494999999894E-2</v>
      </c>
      <c r="Z225" s="325">
        <f t="shared" si="7"/>
        <v>6.1045494999999894</v>
      </c>
    </row>
    <row r="226" spans="15:26">
      <c r="O226" s="322"/>
      <c r="P226" s="322" t="s">
        <v>810</v>
      </c>
      <c r="Q226" s="325">
        <v>4.7258649999999998</v>
      </c>
      <c r="R226" s="325">
        <v>0.85958869999999998</v>
      </c>
      <c r="S226" s="325">
        <v>-1.552268</v>
      </c>
      <c r="T226" s="325">
        <v>-4.0331780000000004</v>
      </c>
      <c r="U226" s="322"/>
      <c r="V226" s="325">
        <f t="shared" si="6"/>
        <v>0.5</v>
      </c>
      <c r="W226" s="325">
        <v>7.4804444999999831</v>
      </c>
      <c r="X226" s="325">
        <v>0</v>
      </c>
      <c r="Y226" s="325">
        <v>6.195180499999986E-2</v>
      </c>
      <c r="Z226" s="325">
        <f t="shared" si="7"/>
        <v>6.195180499999986</v>
      </c>
    </row>
    <row r="227" spans="15:26">
      <c r="O227" s="322"/>
      <c r="P227" s="322" t="s">
        <v>811</v>
      </c>
      <c r="Q227" s="325">
        <v>4.7620760000000004</v>
      </c>
      <c r="R227" s="325">
        <v>0.89814340000000004</v>
      </c>
      <c r="S227" s="325">
        <v>-1.5525979999999999</v>
      </c>
      <c r="T227" s="325">
        <v>-4.1076220000000001</v>
      </c>
      <c r="U227" s="322"/>
      <c r="V227" s="325">
        <f t="shared" si="6"/>
        <v>0.5</v>
      </c>
      <c r="W227" s="325">
        <v>7.7772245000000018</v>
      </c>
      <c r="X227" s="325">
        <v>0</v>
      </c>
      <c r="Y227" s="325">
        <v>6.5480825000000076E-2</v>
      </c>
      <c r="Z227" s="325">
        <f t="shared" si="7"/>
        <v>6.5480825000000076</v>
      </c>
    </row>
    <row r="228" spans="15:26">
      <c r="O228" s="322"/>
      <c r="P228" s="322" t="s">
        <v>812</v>
      </c>
      <c r="Q228" s="325">
        <v>4.8539260000000004</v>
      </c>
      <c r="R228" s="325">
        <v>0.88576759999999999</v>
      </c>
      <c r="S228" s="325">
        <v>-1.604006</v>
      </c>
      <c r="T228" s="325">
        <v>-4.1356710000000003</v>
      </c>
      <c r="U228" s="322"/>
      <c r="V228" s="325">
        <f t="shared" si="6"/>
        <v>0.5</v>
      </c>
      <c r="W228" s="325">
        <v>7.6394894999999963</v>
      </c>
      <c r="X228" s="325">
        <v>0</v>
      </c>
      <c r="Y228" s="325">
        <v>6.3466194999999948E-2</v>
      </c>
      <c r="Z228" s="325">
        <f t="shared" si="7"/>
        <v>6.3466194999999948</v>
      </c>
    </row>
    <row r="229" spans="15:26">
      <c r="O229" s="322"/>
      <c r="P229" s="322" t="s">
        <v>813</v>
      </c>
      <c r="Q229" s="325">
        <v>4.9134339999999996</v>
      </c>
      <c r="R229" s="325">
        <v>0.88138939999999999</v>
      </c>
      <c r="S229" s="325">
        <v>-1.6336580000000001</v>
      </c>
      <c r="T229" s="325">
        <v>-4.1611649999999996</v>
      </c>
      <c r="U229" s="322"/>
      <c r="V229" s="325">
        <f t="shared" si="6"/>
        <v>0.5</v>
      </c>
      <c r="W229" s="325">
        <v>7.5968870000000077</v>
      </c>
      <c r="X229" s="325">
        <v>0</v>
      </c>
      <c r="Y229" s="325">
        <v>6.347453000000014E-2</v>
      </c>
      <c r="Z229" s="325">
        <f t="shared" si="7"/>
        <v>6.347453000000014</v>
      </c>
    </row>
    <row r="230" spans="15:26">
      <c r="O230" s="322"/>
      <c r="P230" s="322" t="s">
        <v>814</v>
      </c>
      <c r="Q230" s="325">
        <v>4.9429350000000003</v>
      </c>
      <c r="R230" s="325">
        <v>0.89035240000000004</v>
      </c>
      <c r="S230" s="325">
        <v>-1.643829</v>
      </c>
      <c r="T230" s="325">
        <v>-4.1894739999999997</v>
      </c>
      <c r="U230" s="322"/>
      <c r="V230" s="325">
        <f t="shared" si="6"/>
        <v>0.5</v>
      </c>
      <c r="W230" s="325">
        <v>7.6894325000000485</v>
      </c>
      <c r="X230" s="325">
        <v>0</v>
      </c>
      <c r="Y230" s="325">
        <v>6.4663865000000209E-2</v>
      </c>
      <c r="Z230" s="325">
        <f t="shared" si="7"/>
        <v>6.4663865000000209</v>
      </c>
    </row>
    <row r="231" spans="15:26">
      <c r="O231" s="322"/>
      <c r="P231" s="322" t="s">
        <v>815</v>
      </c>
      <c r="Q231" s="325">
        <v>4.8869170000000004</v>
      </c>
      <c r="R231" s="325">
        <v>0.87429080000000003</v>
      </c>
      <c r="S231" s="325">
        <v>-1.6256139999999999</v>
      </c>
      <c r="T231" s="325">
        <v>-4.1355849999999998</v>
      </c>
      <c r="U231" s="322"/>
      <c r="V231" s="325">
        <f t="shared" si="6"/>
        <v>0.5</v>
      </c>
      <c r="W231" s="325">
        <v>7.6089299999999804</v>
      </c>
      <c r="X231" s="325">
        <v>0</v>
      </c>
      <c r="Y231" s="325">
        <v>6.3806179999999824E-2</v>
      </c>
      <c r="Z231" s="325">
        <f t="shared" si="7"/>
        <v>6.3806179999999824</v>
      </c>
    </row>
    <row r="232" spans="15:26">
      <c r="O232" s="322"/>
      <c r="P232" s="322" t="s">
        <v>816</v>
      </c>
      <c r="Q232" s="325">
        <v>4.9175449999999996</v>
      </c>
      <c r="R232" s="325">
        <v>0.86929959999999995</v>
      </c>
      <c r="S232" s="325">
        <v>-1.6379969999999999</v>
      </c>
      <c r="T232" s="325">
        <v>-4.1488639999999997</v>
      </c>
      <c r="U232" s="322"/>
      <c r="V232" s="325">
        <f t="shared" si="6"/>
        <v>0.5</v>
      </c>
      <c r="W232" s="325">
        <v>7.5888950000000399</v>
      </c>
      <c r="X232" s="325">
        <v>0</v>
      </c>
      <c r="Y232" s="325">
        <v>6.4309990000000372E-2</v>
      </c>
      <c r="Z232" s="325">
        <f t="shared" si="7"/>
        <v>6.4309990000000372</v>
      </c>
    </row>
    <row r="233" spans="15:26">
      <c r="O233" s="322"/>
      <c r="P233" s="322" t="s">
        <v>817</v>
      </c>
      <c r="Q233" s="325">
        <v>4.9489409999999996</v>
      </c>
      <c r="R233" s="325">
        <v>0.89937710000000004</v>
      </c>
      <c r="S233" s="325">
        <v>-1.6343780000000001</v>
      </c>
      <c r="T233" s="325">
        <v>-4.2139480000000002</v>
      </c>
      <c r="U233" s="322"/>
      <c r="V233" s="325">
        <f t="shared" si="6"/>
        <v>0.5</v>
      </c>
      <c r="W233" s="325">
        <v>7.849312499999983</v>
      </c>
      <c r="X233" s="325">
        <v>0</v>
      </c>
      <c r="Y233" s="325">
        <v>6.8159964999999989E-2</v>
      </c>
      <c r="Z233" s="325">
        <f t="shared" si="7"/>
        <v>6.8159964999999989</v>
      </c>
    </row>
    <row r="234" spans="15:26">
      <c r="O234" s="322"/>
      <c r="P234" s="322">
        <v>2017</v>
      </c>
      <c r="Q234" s="325">
        <v>4.887937</v>
      </c>
      <c r="R234" s="325">
        <v>0.92632320000000001</v>
      </c>
      <c r="S234" s="325">
        <v>-1.5925419999999999</v>
      </c>
      <c r="T234" s="325">
        <v>-4.2217099999999999</v>
      </c>
      <c r="U234" s="322"/>
      <c r="V234" s="325">
        <f t="shared" si="6"/>
        <v>0.5</v>
      </c>
      <c r="W234" s="325">
        <v>8.0992730000000392</v>
      </c>
      <c r="X234" s="325">
        <v>0</v>
      </c>
      <c r="Y234" s="325">
        <v>7.0018530000000467E-2</v>
      </c>
      <c r="Z234" s="325">
        <f t="shared" si="7"/>
        <v>7.0018530000000467</v>
      </c>
    </row>
    <row r="235" spans="15:26">
      <c r="O235" s="322"/>
      <c r="P235" s="322" t="s">
        <v>818</v>
      </c>
      <c r="Q235" s="325">
        <v>4.8762819999999998</v>
      </c>
      <c r="R235" s="325">
        <v>0.89165059999999996</v>
      </c>
      <c r="S235" s="325">
        <v>-1.6074679999999999</v>
      </c>
      <c r="T235" s="325">
        <v>-4.1604809999999999</v>
      </c>
      <c r="U235" s="322"/>
      <c r="V235" s="325">
        <f t="shared" si="6"/>
        <v>0.5</v>
      </c>
      <c r="W235" s="325">
        <v>7.8156274999999775</v>
      </c>
      <c r="X235" s="325">
        <v>0</v>
      </c>
      <c r="Y235" s="325">
        <v>6.5952574999999847E-2</v>
      </c>
      <c r="Z235" s="325">
        <f t="shared" si="7"/>
        <v>6.5952574999999847</v>
      </c>
    </row>
    <row r="236" spans="15:26">
      <c r="O236" s="322"/>
      <c r="P236" s="322" t="s">
        <v>819</v>
      </c>
      <c r="Q236" s="325">
        <v>4.8771990000000001</v>
      </c>
      <c r="R236" s="325">
        <v>0.88705860000000003</v>
      </c>
      <c r="S236" s="325">
        <v>-1.613351</v>
      </c>
      <c r="T236" s="325">
        <v>-4.1508979999999998</v>
      </c>
      <c r="U236" s="322"/>
      <c r="V236" s="325">
        <f t="shared" si="6"/>
        <v>0.5</v>
      </c>
      <c r="W236" s="325">
        <v>7.7718160000000314</v>
      </c>
      <c r="X236" s="325">
        <v>0</v>
      </c>
      <c r="Y236" s="325">
        <v>6.609716000000021E-2</v>
      </c>
      <c r="Z236" s="325">
        <f t="shared" si="7"/>
        <v>6.609716000000021</v>
      </c>
    </row>
    <row r="237" spans="15:26">
      <c r="O237" s="322"/>
      <c r="P237" s="322" t="s">
        <v>820</v>
      </c>
      <c r="Q237" s="325">
        <v>4.873678</v>
      </c>
      <c r="R237" s="325">
        <v>0.90897890000000003</v>
      </c>
      <c r="S237" s="325">
        <v>-1.6018829999999999</v>
      </c>
      <c r="T237" s="325">
        <v>-4.1807660000000002</v>
      </c>
      <c r="U237" s="322"/>
      <c r="V237" s="325">
        <f t="shared" si="6"/>
        <v>0.5</v>
      </c>
      <c r="W237" s="325">
        <v>7.9530785000000215</v>
      </c>
      <c r="X237" s="325">
        <v>0</v>
      </c>
      <c r="Y237" s="325">
        <v>6.6564185000000053E-2</v>
      </c>
      <c r="Z237" s="325">
        <f t="shared" si="7"/>
        <v>6.6564185000000053</v>
      </c>
    </row>
    <row r="238" spans="15:26">
      <c r="O238" s="322"/>
      <c r="P238" s="322" t="s">
        <v>821</v>
      </c>
      <c r="Q238" s="325">
        <v>4.9058039999999998</v>
      </c>
      <c r="R238" s="325">
        <v>0.9032559</v>
      </c>
      <c r="S238" s="325">
        <v>-1.626147</v>
      </c>
      <c r="T238" s="325">
        <v>-4.1829049999999999</v>
      </c>
      <c r="U238" s="322"/>
      <c r="V238" s="325">
        <f t="shared" si="6"/>
        <v>0.5</v>
      </c>
      <c r="W238" s="325">
        <v>7.8671144999999942</v>
      </c>
      <c r="X238" s="325">
        <v>0</v>
      </c>
      <c r="Y238" s="325">
        <v>6.5201124999999971E-2</v>
      </c>
      <c r="Z238" s="325">
        <f t="shared" si="7"/>
        <v>6.5201124999999971</v>
      </c>
    </row>
    <row r="239" spans="15:26">
      <c r="O239" s="322"/>
      <c r="P239" s="322" t="s">
        <v>822</v>
      </c>
      <c r="Q239" s="325">
        <v>4.9891899999999998</v>
      </c>
      <c r="R239" s="325">
        <v>0.91482059999999998</v>
      </c>
      <c r="S239" s="325">
        <v>-1.667349</v>
      </c>
      <c r="T239" s="325">
        <v>-4.2366609999999998</v>
      </c>
      <c r="U239" s="322"/>
      <c r="V239" s="325">
        <f t="shared" si="6"/>
        <v>0.5</v>
      </c>
      <c r="W239" s="325">
        <v>7.8874000000000333</v>
      </c>
      <c r="X239" s="325">
        <v>0</v>
      </c>
      <c r="Y239" s="325">
        <v>6.5852520000000192E-2</v>
      </c>
      <c r="Z239" s="325">
        <f t="shared" si="7"/>
        <v>6.5852520000000192</v>
      </c>
    </row>
    <row r="240" spans="15:26">
      <c r="O240" s="322"/>
      <c r="P240" s="322" t="s">
        <v>823</v>
      </c>
      <c r="Q240" s="325">
        <v>5.0848009999999997</v>
      </c>
      <c r="R240" s="325">
        <v>0.93017570000000005</v>
      </c>
      <c r="S240" s="325">
        <v>-1.7067060000000001</v>
      </c>
      <c r="T240" s="325">
        <v>-4.3082549999999999</v>
      </c>
      <c r="U240" s="322"/>
      <c r="V240" s="325">
        <f t="shared" si="6"/>
        <v>0.5</v>
      </c>
      <c r="W240" s="325">
        <v>7.9587264999999796</v>
      </c>
      <c r="X240" s="325">
        <v>0</v>
      </c>
      <c r="Y240" s="325">
        <v>6.6059824999999739E-2</v>
      </c>
      <c r="Z240" s="325">
        <f t="shared" si="7"/>
        <v>6.6059824999999739</v>
      </c>
    </row>
    <row r="241" spans="15:26">
      <c r="O241" s="322"/>
      <c r="P241" s="322" t="s">
        <v>824</v>
      </c>
      <c r="Q241" s="325">
        <v>5.0906089999999997</v>
      </c>
      <c r="R241" s="325">
        <v>0.95355760000000001</v>
      </c>
      <c r="S241" s="325">
        <v>-1.6904250000000001</v>
      </c>
      <c r="T241" s="325">
        <v>-4.3537419999999996</v>
      </c>
      <c r="U241" s="322"/>
      <c r="V241" s="325">
        <f t="shared" si="6"/>
        <v>0.5</v>
      </c>
      <c r="W241" s="325">
        <v>8.2190460000000076</v>
      </c>
      <c r="X241" s="325">
        <v>0</v>
      </c>
      <c r="Y241" s="325">
        <v>6.935005999999988E-2</v>
      </c>
      <c r="Z241" s="325">
        <f t="shared" si="7"/>
        <v>6.935005999999988</v>
      </c>
    </row>
    <row r="242" spans="15:26">
      <c r="O242" s="322"/>
      <c r="P242" s="322" t="s">
        <v>825</v>
      </c>
      <c r="Q242" s="325">
        <v>5.0620409999999998</v>
      </c>
      <c r="R242" s="325">
        <v>1.0188600000000001</v>
      </c>
      <c r="S242" s="325">
        <v>-1.636123</v>
      </c>
      <c r="T242" s="325">
        <v>-4.4447939999999999</v>
      </c>
      <c r="U242" s="322"/>
      <c r="V242" s="325">
        <f t="shared" si="6"/>
        <v>0.5</v>
      </c>
      <c r="W242" s="325">
        <v>8.8469114999999867</v>
      </c>
      <c r="X242" s="325">
        <v>0</v>
      </c>
      <c r="Y242" s="325">
        <v>7.7286195000000113E-2</v>
      </c>
      <c r="Z242" s="325">
        <f t="shared" si="7"/>
        <v>7.7286195000000113</v>
      </c>
    </row>
    <row r="243" spans="15:26">
      <c r="O243" s="322"/>
      <c r="P243" s="322" t="s">
        <v>826</v>
      </c>
      <c r="Q243" s="325">
        <v>5.0562639999999996</v>
      </c>
      <c r="R243" s="325">
        <v>0.95223389999999997</v>
      </c>
      <c r="S243" s="325">
        <v>-1.6668890000000001</v>
      </c>
      <c r="T243" s="325">
        <v>-4.3416009999999998</v>
      </c>
      <c r="U243" s="322"/>
      <c r="V243" s="325">
        <f t="shared" si="6"/>
        <v>0.5</v>
      </c>
      <c r="W243" s="325">
        <v>8.2994014999999912</v>
      </c>
      <c r="X243" s="325">
        <v>0</v>
      </c>
      <c r="Y243" s="325">
        <v>6.9876235000000175E-2</v>
      </c>
      <c r="Z243" s="325">
        <f t="shared" si="7"/>
        <v>6.9876235000000175</v>
      </c>
    </row>
    <row r="244" spans="15:26">
      <c r="O244" s="322"/>
      <c r="P244" s="322" t="s">
        <v>827</v>
      </c>
      <c r="Q244" s="325">
        <v>5.0575640000000002</v>
      </c>
      <c r="R244" s="325">
        <v>0.98441789999999996</v>
      </c>
      <c r="S244" s="325">
        <v>-1.643983</v>
      </c>
      <c r="T244" s="325">
        <v>-4.3979990000000004</v>
      </c>
      <c r="U244" s="322"/>
      <c r="V244" s="325">
        <f t="shared" si="6"/>
        <v>0.5</v>
      </c>
      <c r="W244" s="325">
        <v>8.6128610000000059</v>
      </c>
      <c r="X244" s="325">
        <v>0</v>
      </c>
      <c r="Y244" s="325">
        <v>7.413277000000007E-2</v>
      </c>
      <c r="Z244" s="325">
        <f t="shared" si="7"/>
        <v>7.413277000000007</v>
      </c>
    </row>
    <row r="245" spans="15:26">
      <c r="O245" s="322"/>
      <c r="P245" s="322" t="s">
        <v>828</v>
      </c>
      <c r="Q245" s="325">
        <v>5.0970899999999997</v>
      </c>
      <c r="R245" s="325">
        <v>0.9810297</v>
      </c>
      <c r="S245" s="325">
        <v>-1.6632690000000001</v>
      </c>
      <c r="T245" s="325">
        <v>-4.4148430000000003</v>
      </c>
      <c r="U245" s="322"/>
      <c r="V245" s="325">
        <f t="shared" si="6"/>
        <v>0.5</v>
      </c>
      <c r="W245" s="325">
        <v>8.5699214999999995</v>
      </c>
      <c r="X245" s="325">
        <v>0</v>
      </c>
      <c r="Y245" s="325">
        <v>7.5298375000000028E-2</v>
      </c>
      <c r="Z245" s="325">
        <f t="shared" si="7"/>
        <v>7.5298375000000028</v>
      </c>
    </row>
    <row r="246" spans="15:26">
      <c r="O246" s="322"/>
      <c r="P246" s="322">
        <v>2018</v>
      </c>
      <c r="Q246" s="325">
        <v>5.0758190000000001</v>
      </c>
      <c r="R246" s="325">
        <v>1.002111</v>
      </c>
      <c r="S246" s="325">
        <v>-1.640631</v>
      </c>
      <c r="T246" s="325">
        <v>-4.4372999999999996</v>
      </c>
      <c r="U246" s="322"/>
      <c r="V246" s="325">
        <f t="shared" si="6"/>
        <v>0.5</v>
      </c>
      <c r="W246" s="325">
        <v>8.7702755000000252</v>
      </c>
      <c r="X246" s="325">
        <v>0</v>
      </c>
      <c r="Y246" s="325">
        <v>7.7141615000000385E-2</v>
      </c>
      <c r="Z246" s="325">
        <f t="shared" si="7"/>
        <v>7.7141615000000385</v>
      </c>
    </row>
    <row r="247" spans="15:26">
      <c r="O247" s="322"/>
      <c r="P247" s="322" t="s">
        <v>829</v>
      </c>
      <c r="Q247" s="325">
        <v>5.0379990000000001</v>
      </c>
      <c r="R247" s="325">
        <v>0.99554010000000004</v>
      </c>
      <c r="S247" s="325">
        <v>-1.6346799999999999</v>
      </c>
      <c r="T247" s="325">
        <v>-4.3988750000000003</v>
      </c>
      <c r="U247" s="322"/>
      <c r="V247" s="325">
        <f t="shared" si="6"/>
        <v>0.5</v>
      </c>
      <c r="W247" s="325">
        <v>8.6854159999999681</v>
      </c>
      <c r="X247" s="325">
        <v>0</v>
      </c>
      <c r="Y247" s="325">
        <v>7.4945639999999925E-2</v>
      </c>
      <c r="Z247" s="325">
        <f t="shared" si="7"/>
        <v>7.4945639999999925</v>
      </c>
    </row>
    <row r="248" spans="15:26">
      <c r="O248" s="322"/>
      <c r="P248" s="322" t="s">
        <v>830</v>
      </c>
      <c r="Q248" s="325">
        <v>4.9846190000000004</v>
      </c>
      <c r="R248" s="325">
        <v>0.98480140000000005</v>
      </c>
      <c r="S248" s="325">
        <v>-1.623359</v>
      </c>
      <c r="T248" s="325">
        <v>-4.3460450000000002</v>
      </c>
      <c r="U248" s="322"/>
      <c r="V248" s="325">
        <f t="shared" si="6"/>
        <v>0.5</v>
      </c>
      <c r="W248" s="325">
        <v>8.5696605000000083</v>
      </c>
      <c r="X248" s="325">
        <v>0</v>
      </c>
      <c r="Y248" s="325">
        <v>7.3054205000000039E-2</v>
      </c>
      <c r="Z248" s="325">
        <f t="shared" si="7"/>
        <v>7.3054205000000039</v>
      </c>
    </row>
    <row r="249" spans="15:26">
      <c r="O249" s="322"/>
      <c r="P249" s="322" t="s">
        <v>831</v>
      </c>
      <c r="Q249" s="325">
        <v>4.9646059999999999</v>
      </c>
      <c r="R249" s="325">
        <v>1.007055</v>
      </c>
      <c r="S249" s="325">
        <v>-1.5962460000000001</v>
      </c>
      <c r="T249" s="325">
        <v>-4.3754220000000004</v>
      </c>
      <c r="U249" s="322"/>
      <c r="V249" s="325">
        <f t="shared" si="6"/>
        <v>0.5</v>
      </c>
      <c r="W249" s="325">
        <v>8.7902780000000291</v>
      </c>
      <c r="X249" s="325">
        <v>0</v>
      </c>
      <c r="Y249" s="325">
        <v>7.5245620000000013E-2</v>
      </c>
      <c r="Z249" s="325">
        <f t="shared" si="7"/>
        <v>7.5245620000000013</v>
      </c>
    </row>
    <row r="250" spans="15:26">
      <c r="O250" s="322"/>
      <c r="P250" s="322" t="s">
        <v>832</v>
      </c>
      <c r="Q250" s="325">
        <v>4.9298260000000003</v>
      </c>
      <c r="R250" s="325">
        <v>1.026189</v>
      </c>
      <c r="S250" s="325">
        <v>-1.5679730000000001</v>
      </c>
      <c r="T250" s="325">
        <v>-4.3880489999999996</v>
      </c>
      <c r="U250" s="322"/>
      <c r="V250" s="325">
        <f t="shared" si="6"/>
        <v>0.5</v>
      </c>
      <c r="W250" s="325">
        <v>8.945756500000023</v>
      </c>
      <c r="X250" s="325">
        <v>0</v>
      </c>
      <c r="Y250" s="325">
        <v>7.7461225000000189E-2</v>
      </c>
      <c r="Z250" s="325">
        <f t="shared" si="7"/>
        <v>7.7461225000000189</v>
      </c>
    </row>
    <row r="251" spans="15:26">
      <c r="O251" s="322"/>
      <c r="P251" s="322" t="s">
        <v>833</v>
      </c>
      <c r="Q251" s="325">
        <v>4.9649359999999998</v>
      </c>
      <c r="R251" s="325">
        <v>1.0462899999999999</v>
      </c>
      <c r="S251" s="325">
        <v>-1.569013</v>
      </c>
      <c r="T251" s="325">
        <v>-4.4421980000000003</v>
      </c>
      <c r="U251" s="322"/>
      <c r="V251" s="325">
        <f t="shared" si="6"/>
        <v>0.5</v>
      </c>
      <c r="W251" s="325">
        <v>9.1348154999999931</v>
      </c>
      <c r="X251" s="325">
        <v>0</v>
      </c>
      <c r="Y251" s="325">
        <v>8.0582635000000069E-2</v>
      </c>
      <c r="Z251" s="325">
        <f t="shared" si="7"/>
        <v>8.058263500000006</v>
      </c>
    </row>
    <row r="252" spans="15:26">
      <c r="O252" s="322"/>
      <c r="P252" s="322" t="s">
        <v>834</v>
      </c>
      <c r="Q252" s="325">
        <v>4.9846490000000001</v>
      </c>
      <c r="R252" s="325">
        <v>1.038772</v>
      </c>
      <c r="S252" s="325">
        <v>-1.5752280000000001</v>
      </c>
      <c r="T252" s="325">
        <v>-4.4481849999999996</v>
      </c>
      <c r="U252" s="322"/>
      <c r="V252" s="325">
        <f t="shared" si="6"/>
        <v>0.5</v>
      </c>
      <c r="W252" s="325">
        <v>9.1258434999999629</v>
      </c>
      <c r="X252" s="325">
        <v>0</v>
      </c>
      <c r="Y252" s="325">
        <v>8.0311154999999745E-2</v>
      </c>
      <c r="Z252" s="325">
        <f t="shared" si="7"/>
        <v>8.0311154999999737</v>
      </c>
    </row>
    <row r="253" spans="15:26">
      <c r="O253" s="322"/>
      <c r="P253" s="322" t="s">
        <v>835</v>
      </c>
      <c r="Q253" s="325">
        <v>5.0476380000000001</v>
      </c>
      <c r="R253" s="325">
        <v>1.0327710000000001</v>
      </c>
      <c r="S253" s="325">
        <v>-1.599383</v>
      </c>
      <c r="T253" s="325">
        <v>-4.4810270000000001</v>
      </c>
      <c r="U253" s="322"/>
      <c r="V253" s="325">
        <f t="shared" si="6"/>
        <v>0.5</v>
      </c>
      <c r="W253" s="325">
        <v>9.1188615000000297</v>
      </c>
      <c r="X253" s="325">
        <v>0</v>
      </c>
      <c r="Y253" s="325">
        <v>7.997551500000033E-2</v>
      </c>
      <c r="Z253" s="325">
        <f t="shared" si="7"/>
        <v>7.997551500000033</v>
      </c>
    </row>
    <row r="254" spans="15:26">
      <c r="O254" s="322"/>
      <c r="P254" s="322" t="s">
        <v>836</v>
      </c>
      <c r="Q254" s="325">
        <v>5.0756040000000002</v>
      </c>
      <c r="R254" s="325">
        <v>1.013973</v>
      </c>
      <c r="S254" s="325">
        <v>-1.622355</v>
      </c>
      <c r="T254" s="325">
        <v>-4.4672299999999998</v>
      </c>
      <c r="U254" s="322"/>
      <c r="V254" s="325">
        <f t="shared" si="6"/>
        <v>0.5</v>
      </c>
      <c r="W254" s="325">
        <v>8.9793999999999929</v>
      </c>
      <c r="X254" s="325">
        <v>0</v>
      </c>
      <c r="Y254" s="325">
        <v>7.7221079999999942E-2</v>
      </c>
      <c r="Z254" s="325">
        <f t="shared" si="7"/>
        <v>7.7221079999999942</v>
      </c>
    </row>
    <row r="255" spans="15:26">
      <c r="O255" s="322"/>
      <c r="P255" s="322" t="s">
        <v>837</v>
      </c>
      <c r="Q255" s="325">
        <v>5.0624089999999997</v>
      </c>
      <c r="R255" s="325">
        <v>1.01353</v>
      </c>
      <c r="S255" s="325">
        <v>-1.6154299999999999</v>
      </c>
      <c r="T255" s="325">
        <v>-4.4605100000000002</v>
      </c>
      <c r="U255" s="322"/>
      <c r="V255" s="325">
        <f t="shared" si="6"/>
        <v>0.5</v>
      </c>
      <c r="W255" s="325">
        <v>8.9628639999999926</v>
      </c>
      <c r="X255" s="325">
        <v>0</v>
      </c>
      <c r="Y255" s="325">
        <v>7.4750279999999947E-2</v>
      </c>
      <c r="Z255" s="325">
        <f t="shared" si="7"/>
        <v>7.4750279999999947</v>
      </c>
    </row>
    <row r="256" spans="15:26">
      <c r="O256" s="322"/>
      <c r="P256" s="322" t="s">
        <v>838</v>
      </c>
      <c r="Q256" s="325">
        <v>5.1031890000000004</v>
      </c>
      <c r="R256" s="325">
        <v>0.98142779999999996</v>
      </c>
      <c r="S256" s="325">
        <v>-1.651732</v>
      </c>
      <c r="T256" s="325">
        <v>-4.432868</v>
      </c>
      <c r="U256" s="322"/>
      <c r="V256" s="325">
        <f t="shared" si="6"/>
        <v>0.5</v>
      </c>
      <c r="W256" s="325">
        <v>8.7191730000000014</v>
      </c>
      <c r="X256" s="325">
        <v>0</v>
      </c>
      <c r="Y256" s="325">
        <v>7.4356929999999988E-2</v>
      </c>
      <c r="Z256" s="325">
        <f t="shared" si="7"/>
        <v>7.4356929999999988</v>
      </c>
    </row>
    <row r="257" spans="15:26">
      <c r="O257" s="322"/>
      <c r="P257" s="322" t="s">
        <v>839</v>
      </c>
      <c r="Q257" s="325">
        <v>5.1656700000000004</v>
      </c>
      <c r="R257" s="325">
        <v>0.94496840000000004</v>
      </c>
      <c r="S257" s="325">
        <v>-1.7049620000000001</v>
      </c>
      <c r="T257" s="325">
        <v>-4.4056839999999999</v>
      </c>
      <c r="U257" s="322"/>
      <c r="V257" s="325">
        <f t="shared" si="6"/>
        <v>0.5</v>
      </c>
      <c r="W257" s="325">
        <v>8.4095435000000052</v>
      </c>
      <c r="X257" s="325">
        <v>0</v>
      </c>
      <c r="Y257" s="325">
        <v>7.222189499999998E-2</v>
      </c>
      <c r="Z257" s="325">
        <f t="shared" si="7"/>
        <v>7.222189499999998</v>
      </c>
    </row>
    <row r="258" spans="15:26">
      <c r="O258" s="322"/>
      <c r="P258" s="322">
        <v>2019</v>
      </c>
      <c r="Q258" s="325">
        <v>5.1580760000000003</v>
      </c>
      <c r="R258" s="325">
        <v>0.91856320000000002</v>
      </c>
      <c r="S258" s="325">
        <v>-1.7298709999999999</v>
      </c>
      <c r="T258" s="325">
        <v>-4.3467529999999996</v>
      </c>
      <c r="U258" s="322"/>
      <c r="V258" s="325">
        <f t="shared" si="6"/>
        <v>0.5</v>
      </c>
      <c r="W258" s="325">
        <v>8.1446994999999855</v>
      </c>
      <c r="X258" s="325">
        <v>0</v>
      </c>
      <c r="Y258" s="325">
        <v>6.8058114999999919E-2</v>
      </c>
      <c r="Z258" s="325">
        <f t="shared" si="7"/>
        <v>6.8058114999999919</v>
      </c>
    </row>
    <row r="259" spans="15:26">
      <c r="O259" s="322"/>
      <c r="P259" s="322" t="s">
        <v>840</v>
      </c>
      <c r="Q259" s="325">
        <v>5.1193580000000001</v>
      </c>
      <c r="R259" s="325">
        <v>0.90870359999999994</v>
      </c>
      <c r="S259" s="325">
        <v>-1.7227779999999999</v>
      </c>
      <c r="T259" s="325">
        <v>-4.3052840000000003</v>
      </c>
      <c r="U259" s="322"/>
      <c r="V259" s="325">
        <f t="shared" si="6"/>
        <v>0.5</v>
      </c>
      <c r="W259" s="325">
        <v>8.0787444999999902</v>
      </c>
      <c r="X259" s="325">
        <v>0</v>
      </c>
      <c r="Y259" s="325">
        <v>6.7981884999999798E-2</v>
      </c>
      <c r="Z259" s="325">
        <f t="shared" si="7"/>
        <v>6.7981884999999798</v>
      </c>
    </row>
    <row r="260" spans="15:26">
      <c r="O260" s="322"/>
      <c r="P260" s="322" t="s">
        <v>841</v>
      </c>
      <c r="Q260" s="325">
        <v>5.0693570000000001</v>
      </c>
      <c r="R260" s="325">
        <v>0.93475850000000005</v>
      </c>
      <c r="S260" s="325">
        <v>-1.680965</v>
      </c>
      <c r="T260" s="325">
        <v>-4.323143</v>
      </c>
      <c r="U260" s="322"/>
      <c r="V260" s="325">
        <f t="shared" si="6"/>
        <v>0.5</v>
      </c>
      <c r="W260" s="325">
        <v>8.314008999999988</v>
      </c>
      <c r="X260" s="325">
        <v>0</v>
      </c>
      <c r="Y260" s="325">
        <v>6.9308089999999822E-2</v>
      </c>
      <c r="Z260" s="325">
        <f t="shared" si="7"/>
        <v>6.9308089999999822</v>
      </c>
    </row>
    <row r="261" spans="15:26">
      <c r="O261" s="322"/>
      <c r="P261" s="322" t="s">
        <v>842</v>
      </c>
      <c r="Q261" s="325">
        <v>4.992737</v>
      </c>
      <c r="R261" s="325">
        <v>0.96521199999999996</v>
      </c>
      <c r="S261" s="325">
        <v>-1.6193919999999999</v>
      </c>
      <c r="T261" s="325">
        <v>-4.3385490000000004</v>
      </c>
      <c r="U261" s="322"/>
      <c r="V261" s="325">
        <f t="shared" si="6"/>
        <v>0.5</v>
      </c>
      <c r="W261" s="325">
        <v>8.5978669999999582</v>
      </c>
      <c r="X261" s="325">
        <v>0</v>
      </c>
      <c r="Y261" s="325">
        <v>7.1986849999999825E-2</v>
      </c>
      <c r="Z261" s="325">
        <f t="shared" si="7"/>
        <v>7.1986849999999825</v>
      </c>
    </row>
    <row r="262" spans="15:26">
      <c r="O262" s="322"/>
      <c r="P262" s="322" t="s">
        <v>843</v>
      </c>
      <c r="Q262" s="325">
        <v>4.9792490000000003</v>
      </c>
      <c r="R262" s="325">
        <v>0.96710019999999997</v>
      </c>
      <c r="S262" s="325">
        <v>-1.6111629999999999</v>
      </c>
      <c r="T262" s="325">
        <v>-4.3351699999999997</v>
      </c>
      <c r="U262" s="322"/>
      <c r="V262" s="325">
        <f t="shared" ref="V262:V293" si="8">(X262/6+1)/2</f>
        <v>0.5</v>
      </c>
      <c r="W262" s="325">
        <v>8.6221274999999977</v>
      </c>
      <c r="X262" s="325">
        <v>0</v>
      </c>
      <c r="Y262" s="325">
        <v>7.2500835000000041E-2</v>
      </c>
      <c r="Z262" s="325">
        <f t="shared" ref="Z262:Z293" si="9">Y262*100</f>
        <v>7.2500835000000041</v>
      </c>
    </row>
    <row r="263" spans="15:26">
      <c r="O263" s="322"/>
      <c r="P263" s="322" t="s">
        <v>844</v>
      </c>
      <c r="Q263" s="325">
        <v>4.9961010000000003</v>
      </c>
      <c r="R263" s="325">
        <v>0.94040140000000005</v>
      </c>
      <c r="S263" s="325">
        <v>-1.6394029999999999</v>
      </c>
      <c r="T263" s="325">
        <v>-4.2971069999999996</v>
      </c>
      <c r="U263" s="322"/>
      <c r="V263" s="325">
        <f t="shared" si="8"/>
        <v>0.5</v>
      </c>
      <c r="W263" s="325">
        <v>8.3476214999999918</v>
      </c>
      <c r="X263" s="325">
        <v>0</v>
      </c>
      <c r="Y263" s="325">
        <v>6.8106635000000137E-2</v>
      </c>
      <c r="Z263" s="325">
        <f t="shared" si="9"/>
        <v>6.8106635000000137</v>
      </c>
    </row>
    <row r="264" spans="15:26">
      <c r="O264" s="322"/>
      <c r="P264" s="322" t="s">
        <v>845</v>
      </c>
      <c r="Q264" s="325">
        <v>5.019463</v>
      </c>
      <c r="R264" s="325">
        <v>0.95768450000000005</v>
      </c>
      <c r="S264" s="325">
        <v>-1.6374409999999999</v>
      </c>
      <c r="T264" s="325">
        <v>-4.3396990000000004</v>
      </c>
      <c r="U264" s="322"/>
      <c r="V264" s="325">
        <f t="shared" si="8"/>
        <v>0.5</v>
      </c>
      <c r="W264" s="325">
        <v>8.4964440000000252</v>
      </c>
      <c r="X264" s="325">
        <v>0</v>
      </c>
      <c r="Y264" s="325">
        <v>7.0032180000000332E-2</v>
      </c>
      <c r="Z264" s="325">
        <f t="shared" si="9"/>
        <v>7.0032180000000332</v>
      </c>
    </row>
    <row r="265" spans="15:26">
      <c r="O265" s="322"/>
      <c r="P265" s="322" t="s">
        <v>846</v>
      </c>
      <c r="Q265" s="325">
        <v>5.0746399999999996</v>
      </c>
      <c r="R265" s="325">
        <v>0.94218279999999999</v>
      </c>
      <c r="S265" s="325">
        <v>-1.665915</v>
      </c>
      <c r="T265" s="325">
        <v>-4.3509070000000003</v>
      </c>
      <c r="U265" s="322"/>
      <c r="V265" s="325">
        <f t="shared" si="8"/>
        <v>0.5</v>
      </c>
      <c r="W265" s="325">
        <v>8.4176060000000099</v>
      </c>
      <c r="X265" s="325">
        <v>0</v>
      </c>
      <c r="Y265" s="325">
        <v>6.9238020000000233E-2</v>
      </c>
      <c r="Z265" s="325">
        <f t="shared" si="9"/>
        <v>6.9238020000000233</v>
      </c>
    </row>
    <row r="266" spans="15:26">
      <c r="O266" s="322"/>
      <c r="P266" s="322" t="s">
        <v>847</v>
      </c>
      <c r="Q266" s="325">
        <v>5.1033850000000003</v>
      </c>
      <c r="R266" s="325">
        <v>0.92033710000000002</v>
      </c>
      <c r="S266" s="325">
        <v>-1.692879</v>
      </c>
      <c r="T266" s="325">
        <v>-4.3308429999999998</v>
      </c>
      <c r="U266" s="322"/>
      <c r="V266" s="325">
        <f t="shared" si="8"/>
        <v>0.5</v>
      </c>
      <c r="W266" s="325">
        <v>8.2623495000000204</v>
      </c>
      <c r="X266" s="325">
        <v>0</v>
      </c>
      <c r="Y266" s="325">
        <v>6.7542334999999953E-2</v>
      </c>
      <c r="Z266" s="325">
        <f t="shared" si="9"/>
        <v>6.7542334999999953</v>
      </c>
    </row>
    <row r="267" spans="15:26">
      <c r="O267" s="322"/>
      <c r="P267" s="322" t="s">
        <v>848</v>
      </c>
      <c r="Q267" s="325">
        <v>5.1075660000000003</v>
      </c>
      <c r="R267" s="325">
        <v>0.93889469999999997</v>
      </c>
      <c r="S267" s="325">
        <v>-1.6860850000000001</v>
      </c>
      <c r="T267" s="325">
        <v>-4.3603750000000003</v>
      </c>
      <c r="U267" s="322"/>
      <c r="V267" s="325">
        <f t="shared" si="8"/>
        <v>0.5</v>
      </c>
      <c r="W267" s="325">
        <v>8.4025494999999886</v>
      </c>
      <c r="X267" s="325">
        <v>0</v>
      </c>
      <c r="Y267" s="325">
        <v>6.8193114999999915E-2</v>
      </c>
      <c r="Z267" s="325">
        <f t="shared" si="9"/>
        <v>6.8193114999999915</v>
      </c>
    </row>
    <row r="268" spans="15:26">
      <c r="O268" s="322"/>
      <c r="P268" s="322" t="s">
        <v>849</v>
      </c>
      <c r="Q268" s="325">
        <v>5.1326169999999998</v>
      </c>
      <c r="R268" s="325">
        <v>0.94483269999999997</v>
      </c>
      <c r="S268" s="325">
        <v>-1.689155</v>
      </c>
      <c r="T268" s="325">
        <v>-4.38828</v>
      </c>
      <c r="U268" s="322"/>
      <c r="V268" s="325">
        <f t="shared" si="8"/>
        <v>0.5</v>
      </c>
      <c r="W268" s="325">
        <v>8.4609164999999606</v>
      </c>
      <c r="X268" s="325">
        <v>0</v>
      </c>
      <c r="Y268" s="325">
        <v>6.9234124999999924E-2</v>
      </c>
      <c r="Z268" s="325">
        <f t="shared" si="9"/>
        <v>6.9234124999999924</v>
      </c>
    </row>
    <row r="269" spans="15:26">
      <c r="O269" s="322"/>
      <c r="P269" s="322" t="s">
        <v>850</v>
      </c>
      <c r="Q269" s="325">
        <v>5.190995</v>
      </c>
      <c r="R269" s="325">
        <v>0.97794060000000005</v>
      </c>
      <c r="S269" s="325">
        <v>-1.6973830000000001</v>
      </c>
      <c r="T269" s="325">
        <v>-4.471552</v>
      </c>
      <c r="U269" s="322"/>
      <c r="V269" s="325">
        <f t="shared" si="8"/>
        <v>0.5</v>
      </c>
      <c r="W269" s="325">
        <v>8.7100350000000049</v>
      </c>
      <c r="X269" s="325">
        <v>0</v>
      </c>
      <c r="Y269" s="325">
        <v>7.3828110000000002E-2</v>
      </c>
      <c r="Z269" s="325">
        <f t="shared" si="9"/>
        <v>7.3828110000000002</v>
      </c>
    </row>
    <row r="270" spans="15:26">
      <c r="O270" s="322"/>
      <c r="P270" s="322">
        <v>2020</v>
      </c>
      <c r="Q270" s="325">
        <v>5.1840149999999996</v>
      </c>
      <c r="R270" s="325">
        <v>0.96514429999999996</v>
      </c>
      <c r="S270" s="325">
        <v>-1.703495</v>
      </c>
      <c r="T270" s="325">
        <v>-4.4456629999999997</v>
      </c>
      <c r="U270" s="322"/>
      <c r="V270" s="325">
        <f t="shared" si="8"/>
        <v>0.5</v>
      </c>
      <c r="W270" s="325">
        <v>8.6018139999999974</v>
      </c>
      <c r="X270" s="325">
        <v>0</v>
      </c>
      <c r="Y270" s="325">
        <v>7.2539359999999942E-2</v>
      </c>
      <c r="Z270" s="325">
        <f t="shared" si="9"/>
        <v>7.2539359999999942</v>
      </c>
    </row>
    <row r="271" spans="15:26">
      <c r="O271" s="322"/>
      <c r="P271" s="322" t="s">
        <v>851</v>
      </c>
      <c r="Q271" s="325">
        <v>5.1344669999999999</v>
      </c>
      <c r="R271" s="325">
        <v>0.92072730000000003</v>
      </c>
      <c r="S271" s="325">
        <v>-1.711533</v>
      </c>
      <c r="T271" s="325">
        <v>-4.343661</v>
      </c>
      <c r="U271" s="322"/>
      <c r="V271" s="325">
        <f t="shared" si="8"/>
        <v>0.58333333333333337</v>
      </c>
      <c r="W271" s="325">
        <v>8.2190849999999926</v>
      </c>
      <c r="X271" s="325">
        <v>1</v>
      </c>
      <c r="Y271" s="325">
        <v>6.8057430000000085E-2</v>
      </c>
      <c r="Z271" s="325">
        <f t="shared" si="9"/>
        <v>6.8057430000000085</v>
      </c>
    </row>
    <row r="272" spans="15:26">
      <c r="O272" s="322"/>
      <c r="P272" s="322" t="s">
        <v>852</v>
      </c>
      <c r="Q272" s="325">
        <v>5.2313369999999999</v>
      </c>
      <c r="R272" s="325">
        <v>0.94894160000000005</v>
      </c>
      <c r="S272" s="325">
        <v>-1.75349</v>
      </c>
      <c r="T272" s="325">
        <v>-4.4267890000000003</v>
      </c>
      <c r="U272" s="322"/>
      <c r="V272" s="325">
        <f t="shared" si="8"/>
        <v>0.58333333333333337</v>
      </c>
      <c r="W272" s="325">
        <v>8.3812639999999661</v>
      </c>
      <c r="X272" s="325">
        <v>1</v>
      </c>
      <c r="Y272" s="325">
        <v>6.9964679999999779E-2</v>
      </c>
      <c r="Z272" s="325">
        <f t="shared" si="9"/>
        <v>6.9964679999999779</v>
      </c>
    </row>
    <row r="273" spans="15:26">
      <c r="O273" s="322"/>
      <c r="P273" s="322" t="s">
        <v>853</v>
      </c>
      <c r="Q273" s="325">
        <v>5.4550229999999997</v>
      </c>
      <c r="R273" s="325">
        <v>0.94510879999999997</v>
      </c>
      <c r="S273" s="325">
        <v>-1.881691</v>
      </c>
      <c r="T273" s="325">
        <v>-4.5184249999999997</v>
      </c>
      <c r="U273" s="322"/>
      <c r="V273" s="325">
        <f t="shared" si="8"/>
        <v>0.58333333333333337</v>
      </c>
      <c r="W273" s="325">
        <v>8.2932289999999789</v>
      </c>
      <c r="X273" s="325">
        <v>1</v>
      </c>
      <c r="Y273" s="325">
        <v>6.8341749999999868E-2</v>
      </c>
      <c r="Z273" s="325">
        <f t="shared" si="9"/>
        <v>6.8341749999999868</v>
      </c>
    </row>
    <row r="274" spans="15:26">
      <c r="O274" s="322"/>
      <c r="P274" s="322" t="s">
        <v>854</v>
      </c>
      <c r="Q274" s="325">
        <v>5.4700790000000001</v>
      </c>
      <c r="R274" s="325">
        <v>0.92238659999999995</v>
      </c>
      <c r="S274" s="325">
        <v>-1.9056219999999999</v>
      </c>
      <c r="T274" s="325">
        <v>-4.4868519999999998</v>
      </c>
      <c r="U274" s="322"/>
      <c r="V274" s="325">
        <f t="shared" si="8"/>
        <v>0.5</v>
      </c>
      <c r="W274" s="325">
        <v>8.1233239999999753</v>
      </c>
      <c r="X274" s="325">
        <v>0</v>
      </c>
      <c r="Y274" s="325">
        <v>6.5627339999999812E-2</v>
      </c>
      <c r="Z274" s="325">
        <f t="shared" si="9"/>
        <v>6.5627339999999812</v>
      </c>
    </row>
    <row r="275" spans="15:26">
      <c r="O275" s="322"/>
      <c r="P275" s="322" t="s">
        <v>855</v>
      </c>
      <c r="Q275" s="325">
        <v>5.4839630000000001</v>
      </c>
      <c r="R275" s="325">
        <v>0.97576890000000005</v>
      </c>
      <c r="S275" s="325">
        <v>-1.8740079999999999</v>
      </c>
      <c r="T275" s="325">
        <v>-4.5857159999999997</v>
      </c>
      <c r="U275" s="322"/>
      <c r="V275" s="325">
        <f t="shared" si="8"/>
        <v>0.5</v>
      </c>
      <c r="W275" s="325">
        <v>8.6114589999999769</v>
      </c>
      <c r="X275" s="325">
        <v>0</v>
      </c>
      <c r="Y275" s="325">
        <v>7.1525049999999757E-2</v>
      </c>
      <c r="Z275" s="325">
        <f t="shared" si="9"/>
        <v>7.1525049999999757</v>
      </c>
    </row>
    <row r="276" spans="15:26">
      <c r="O276" s="322"/>
      <c r="P276" s="322" t="s">
        <v>856</v>
      </c>
      <c r="Q276" s="325">
        <v>5.4288030000000003</v>
      </c>
      <c r="R276" s="325">
        <v>1.029936</v>
      </c>
      <c r="S276" s="325">
        <v>-1.8012619999999999</v>
      </c>
      <c r="T276" s="325">
        <v>-4.65747</v>
      </c>
      <c r="U276" s="322"/>
      <c r="V276" s="325">
        <f t="shared" si="8"/>
        <v>0.5</v>
      </c>
      <c r="W276" s="325">
        <v>9.1382269999999757</v>
      </c>
      <c r="X276" s="325">
        <v>0</v>
      </c>
      <c r="Y276" s="325">
        <v>7.7823389999999826E-2</v>
      </c>
      <c r="Z276" s="325">
        <f t="shared" si="9"/>
        <v>7.7823389999999826</v>
      </c>
    </row>
    <row r="277" spans="15:26">
      <c r="O277" s="322"/>
      <c r="P277" s="322" t="s">
        <v>857</v>
      </c>
      <c r="Q277" s="325">
        <v>5.3828279999999999</v>
      </c>
      <c r="R277" s="325">
        <v>1.045758</v>
      </c>
      <c r="S277" s="325">
        <v>-1.7708649999999999</v>
      </c>
      <c r="T277" s="325">
        <v>-4.6577130000000002</v>
      </c>
      <c r="U277" s="322"/>
      <c r="V277" s="325">
        <f t="shared" si="8"/>
        <v>0.5</v>
      </c>
      <c r="W277" s="325">
        <v>9.2794884999999994</v>
      </c>
      <c r="X277" s="325">
        <v>0</v>
      </c>
      <c r="Y277" s="325">
        <v>7.9133345000000022E-2</v>
      </c>
      <c r="Z277" s="325">
        <f t="shared" si="9"/>
        <v>7.9133345000000022</v>
      </c>
    </row>
    <row r="278" spans="15:26">
      <c r="O278" s="322"/>
      <c r="P278" s="322" t="s">
        <v>858</v>
      </c>
      <c r="Q278" s="325">
        <v>5.375254</v>
      </c>
      <c r="R278" s="325">
        <v>1.0336209999999999</v>
      </c>
      <c r="S278" s="325">
        <v>-1.7696940000000001</v>
      </c>
      <c r="T278" s="325">
        <v>-4.6391809999999998</v>
      </c>
      <c r="U278" s="322"/>
      <c r="V278" s="325">
        <f t="shared" si="8"/>
        <v>0.5</v>
      </c>
      <c r="W278" s="325">
        <v>9.2253644999999995</v>
      </c>
      <c r="X278" s="325">
        <v>0</v>
      </c>
      <c r="Y278" s="325">
        <v>7.7912705000000138E-2</v>
      </c>
      <c r="Z278" s="325">
        <f t="shared" si="9"/>
        <v>7.7912705000000138</v>
      </c>
    </row>
    <row r="279" spans="15:26">
      <c r="O279" s="322"/>
      <c r="P279" s="322" t="s">
        <v>859</v>
      </c>
      <c r="Q279" s="325">
        <v>5.3594439999999999</v>
      </c>
      <c r="R279" s="325">
        <v>1.0198579999999999</v>
      </c>
      <c r="S279" s="325">
        <v>-1.77471</v>
      </c>
      <c r="T279" s="325">
        <v>-4.6046079999999998</v>
      </c>
      <c r="U279" s="322"/>
      <c r="V279" s="325">
        <f t="shared" si="8"/>
        <v>0.5</v>
      </c>
      <c r="W279" s="325">
        <v>9.086433000000028</v>
      </c>
      <c r="X279" s="325">
        <v>0</v>
      </c>
      <c r="Y279" s="325">
        <v>7.644485000000012E-2</v>
      </c>
      <c r="Z279" s="325">
        <f t="shared" si="9"/>
        <v>7.644485000000012</v>
      </c>
    </row>
    <row r="280" spans="15:26">
      <c r="O280" s="322"/>
      <c r="P280" s="322" t="s">
        <v>860</v>
      </c>
      <c r="Q280" s="325">
        <v>5.3567359999999997</v>
      </c>
      <c r="R280" s="325">
        <v>1.008823</v>
      </c>
      <c r="S280" s="325">
        <v>-1.784219</v>
      </c>
      <c r="T280" s="325">
        <v>-4.5813480000000002</v>
      </c>
      <c r="U280" s="322"/>
      <c r="V280" s="325">
        <f t="shared" si="8"/>
        <v>0.5</v>
      </c>
      <c r="W280" s="325">
        <v>8.9660890000000215</v>
      </c>
      <c r="X280" s="325">
        <v>0</v>
      </c>
      <c r="Y280" s="325">
        <v>7.5573770000000096E-2</v>
      </c>
      <c r="Z280" s="325">
        <f t="shared" si="9"/>
        <v>7.5573770000000096</v>
      </c>
    </row>
    <row r="281" spans="15:26">
      <c r="O281" s="322"/>
      <c r="P281" s="322" t="s">
        <v>861</v>
      </c>
      <c r="Q281" s="325">
        <v>5.4071709999999999</v>
      </c>
      <c r="R281" s="325">
        <v>1.0481480000000001</v>
      </c>
      <c r="S281" s="325">
        <v>-1.7861069999999999</v>
      </c>
      <c r="T281" s="325">
        <v>-4.6692049999999998</v>
      </c>
      <c r="U281" s="322"/>
      <c r="V281" s="325">
        <f t="shared" si="8"/>
        <v>0.5</v>
      </c>
      <c r="W281" s="325">
        <v>9.2959174999999838</v>
      </c>
      <c r="X281" s="325">
        <v>0</v>
      </c>
      <c r="Y281" s="325">
        <v>7.9264315000000085E-2</v>
      </c>
      <c r="Z281" s="325">
        <f t="shared" si="9"/>
        <v>7.9264315000000085</v>
      </c>
    </row>
    <row r="282" spans="15:26">
      <c r="O282" s="322"/>
      <c r="P282" s="322">
        <v>2021</v>
      </c>
      <c r="Q282" s="325">
        <v>5.4274110000000002</v>
      </c>
      <c r="R282" s="325">
        <v>1.0875490000000001</v>
      </c>
      <c r="S282" s="325">
        <v>-1.767971</v>
      </c>
      <c r="T282" s="325">
        <v>-4.7469890000000001</v>
      </c>
      <c r="U282" s="322"/>
      <c r="V282" s="325">
        <f t="shared" si="8"/>
        <v>0.5</v>
      </c>
      <c r="W282" s="325">
        <v>9.6898950000000372</v>
      </c>
      <c r="X282" s="325">
        <v>0</v>
      </c>
      <c r="Y282" s="325">
        <v>8.4020570000000294E-2</v>
      </c>
      <c r="Z282" s="325">
        <f t="shared" si="9"/>
        <v>8.4020570000000294</v>
      </c>
    </row>
    <row r="283" spans="15:26">
      <c r="O283" s="322"/>
      <c r="P283" s="322" t="s">
        <v>862</v>
      </c>
      <c r="Q283" s="325">
        <v>5.4152089999999999</v>
      </c>
      <c r="R283" s="325">
        <v>1.125961</v>
      </c>
      <c r="S283" s="325">
        <v>-1.7420169999999999</v>
      </c>
      <c r="T283" s="325">
        <v>-4.7991529999999996</v>
      </c>
      <c r="U283" s="322"/>
      <c r="V283" s="325">
        <f t="shared" si="8"/>
        <v>0.5</v>
      </c>
      <c r="W283" s="325">
        <v>10.048952999999994</v>
      </c>
      <c r="X283" s="325">
        <v>0</v>
      </c>
      <c r="Y283" s="325">
        <v>8.8643849999999746E-2</v>
      </c>
      <c r="Z283" s="325">
        <f t="shared" si="9"/>
        <v>8.8643849999999738</v>
      </c>
    </row>
    <row r="284" spans="15:26">
      <c r="O284" s="322"/>
      <c r="P284" s="322" t="s">
        <v>863</v>
      </c>
      <c r="Q284" s="325">
        <v>5.3293460000000001</v>
      </c>
      <c r="R284" s="325">
        <v>1.160282</v>
      </c>
      <c r="S284" s="325">
        <v>-1.6720029999999999</v>
      </c>
      <c r="T284" s="325">
        <v>-4.8176160000000001</v>
      </c>
      <c r="U284" s="322"/>
      <c r="V284" s="325">
        <f t="shared" si="8"/>
        <v>0.5</v>
      </c>
      <c r="W284" s="325">
        <v>10.430476999999993</v>
      </c>
      <c r="X284" s="325">
        <v>0</v>
      </c>
      <c r="Y284" s="325">
        <v>9.2270889999999994E-2</v>
      </c>
      <c r="Z284" s="325">
        <f t="shared" si="9"/>
        <v>9.2270889999999994</v>
      </c>
    </row>
    <row r="285" spans="15:26">
      <c r="O285" s="322"/>
      <c r="P285" s="322" t="s">
        <v>864</v>
      </c>
      <c r="Q285" s="325">
        <v>5.1963480000000004</v>
      </c>
      <c r="R285" s="325">
        <v>1.1396949999999999</v>
      </c>
      <c r="S285" s="325">
        <v>-1.616635</v>
      </c>
      <c r="T285" s="325">
        <v>-4.7194070000000004</v>
      </c>
      <c r="U285" s="322"/>
      <c r="V285" s="325">
        <f t="shared" si="8"/>
        <v>0.5</v>
      </c>
      <c r="W285" s="325">
        <v>10.334000499999973</v>
      </c>
      <c r="X285" s="325">
        <v>0</v>
      </c>
      <c r="Y285" s="325">
        <v>9.1165584999999716E-2</v>
      </c>
      <c r="Z285" s="325">
        <f t="shared" si="9"/>
        <v>9.1165584999999716</v>
      </c>
    </row>
    <row r="286" spans="15:26">
      <c r="O286" s="322"/>
      <c r="P286" s="322" t="s">
        <v>865</v>
      </c>
      <c r="Q286" s="325">
        <v>5.0595749999999997</v>
      </c>
      <c r="R286" s="325">
        <v>1.123167</v>
      </c>
      <c r="S286" s="325">
        <v>-1.5604750000000001</v>
      </c>
      <c r="T286" s="325">
        <v>-4.6222589999999997</v>
      </c>
      <c r="U286" s="322"/>
      <c r="V286" s="325">
        <f t="shared" si="8"/>
        <v>0.5</v>
      </c>
      <c r="W286" s="325">
        <v>10.215750000000012</v>
      </c>
      <c r="X286" s="325">
        <v>0</v>
      </c>
      <c r="Y286" s="325">
        <v>8.928596000000022E-2</v>
      </c>
      <c r="Z286" s="325">
        <f t="shared" si="9"/>
        <v>8.928596000000022</v>
      </c>
    </row>
    <row r="287" spans="15:26">
      <c r="O287" s="322"/>
      <c r="P287" s="322" t="s">
        <v>866</v>
      </c>
      <c r="Q287" s="325">
        <v>4.9535609999999997</v>
      </c>
      <c r="R287" s="325">
        <v>1.1365829999999999</v>
      </c>
      <c r="S287" s="325">
        <v>-1.500507</v>
      </c>
      <c r="T287" s="325">
        <v>-4.5896520000000001</v>
      </c>
      <c r="U287" s="322"/>
      <c r="V287" s="325">
        <f t="shared" si="8"/>
        <v>0.5</v>
      </c>
      <c r="W287" s="325">
        <v>10.423719999999959</v>
      </c>
      <c r="X287" s="325">
        <v>0</v>
      </c>
      <c r="Y287" s="325">
        <v>9.1797359999999717E-2</v>
      </c>
      <c r="Z287" s="325">
        <f t="shared" si="9"/>
        <v>9.1797359999999717</v>
      </c>
    </row>
    <row r="288" spans="15:26">
      <c r="O288" s="322"/>
      <c r="P288" s="322" t="s">
        <v>867</v>
      </c>
      <c r="Q288" s="325">
        <v>4.9306929999999998</v>
      </c>
      <c r="R288" s="325">
        <v>1.137337</v>
      </c>
      <c r="S288" s="325">
        <v>-1.4886779999999999</v>
      </c>
      <c r="T288" s="325">
        <v>-4.5793590000000002</v>
      </c>
      <c r="U288" s="322"/>
      <c r="V288" s="325">
        <f t="shared" si="8"/>
        <v>0.5</v>
      </c>
      <c r="W288" s="325">
        <v>10.509614999999982</v>
      </c>
      <c r="X288" s="325">
        <v>0</v>
      </c>
      <c r="Y288" s="325">
        <v>9.2475709999999989E-2</v>
      </c>
      <c r="Z288" s="325">
        <f t="shared" si="9"/>
        <v>9.2475709999999989</v>
      </c>
    </row>
    <row r="289" spans="15:26">
      <c r="O289" s="322"/>
      <c r="P289" s="322" t="s">
        <v>868</v>
      </c>
      <c r="Q289" s="325">
        <v>5.0059670000000001</v>
      </c>
      <c r="R289" s="325">
        <v>1.175972</v>
      </c>
      <c r="S289" s="325">
        <v>-1.509388</v>
      </c>
      <c r="T289" s="325">
        <v>-4.6725430000000001</v>
      </c>
      <c r="U289" s="322"/>
      <c r="V289" s="325">
        <f t="shared" si="8"/>
        <v>0.5</v>
      </c>
      <c r="W289" s="325">
        <v>10.850504500000003</v>
      </c>
      <c r="X289" s="325">
        <v>0</v>
      </c>
      <c r="Y289" s="325">
        <v>9.6643345000000158E-2</v>
      </c>
      <c r="Z289" s="325">
        <f t="shared" si="9"/>
        <v>9.6643345000000167</v>
      </c>
    </row>
    <row r="290" spans="15:26">
      <c r="O290" s="322"/>
      <c r="P290" s="322" t="s">
        <v>869</v>
      </c>
      <c r="Q290" s="325">
        <v>5.1031510000000004</v>
      </c>
      <c r="R290" s="325">
        <v>1.1909510000000001</v>
      </c>
      <c r="S290" s="325">
        <v>-1.5474079999999999</v>
      </c>
      <c r="T290" s="325">
        <v>-4.7467009999999998</v>
      </c>
      <c r="U290" s="322"/>
      <c r="V290" s="325">
        <f t="shared" si="8"/>
        <v>0.5</v>
      </c>
      <c r="W290" s="325">
        <v>11.072827000000007</v>
      </c>
      <c r="X290" s="325">
        <v>0</v>
      </c>
      <c r="Y290" s="325">
        <v>9.979311000000024E-2</v>
      </c>
      <c r="Z290" s="325">
        <f t="shared" si="9"/>
        <v>9.979311000000024</v>
      </c>
    </row>
    <row r="291" spans="15:26">
      <c r="O291" s="322"/>
      <c r="P291" s="322" t="s">
        <v>870</v>
      </c>
      <c r="Q291" s="325">
        <v>5.1021349999999996</v>
      </c>
      <c r="R291" s="325">
        <v>1.2274499999999999</v>
      </c>
      <c r="S291" s="325">
        <v>-1.531353</v>
      </c>
      <c r="T291" s="325">
        <v>-4.7982389999999997</v>
      </c>
      <c r="U291" s="322"/>
      <c r="V291" s="325">
        <f t="shared" si="8"/>
        <v>0.5</v>
      </c>
      <c r="W291" s="325">
        <v>11.460188500000012</v>
      </c>
      <c r="X291" s="325">
        <v>0</v>
      </c>
      <c r="Y291" s="325">
        <v>0.10479184500000027</v>
      </c>
      <c r="Z291" s="325">
        <f t="shared" si="9"/>
        <v>10.479184500000027</v>
      </c>
    </row>
    <row r="292" spans="15:26">
      <c r="O292" s="322"/>
      <c r="P292" s="322" t="s">
        <v>871</v>
      </c>
      <c r="Q292" s="325">
        <v>5.0619339999999999</v>
      </c>
      <c r="R292" s="325">
        <v>1.2463059999999999</v>
      </c>
      <c r="S292" s="325">
        <v>-1.5006790000000001</v>
      </c>
      <c r="T292" s="325">
        <v>-4.8075530000000004</v>
      </c>
      <c r="U292" s="322"/>
      <c r="V292" s="325">
        <f t="shared" si="8"/>
        <v>0.5</v>
      </c>
      <c r="W292" s="325">
        <v>11.684507499999963</v>
      </c>
      <c r="X292" s="325">
        <v>0</v>
      </c>
      <c r="Y292" s="325">
        <v>0.10794409499999968</v>
      </c>
      <c r="Z292" s="325">
        <f t="shared" si="9"/>
        <v>10.794409499999968</v>
      </c>
    </row>
    <row r="293" spans="15:26">
      <c r="O293" s="322"/>
      <c r="P293" s="322" t="s">
        <v>872</v>
      </c>
      <c r="Q293" s="325">
        <v>5.0473489999999996</v>
      </c>
      <c r="R293" s="325">
        <v>1.254769</v>
      </c>
      <c r="S293" s="325">
        <v>-1.4983759999999999</v>
      </c>
      <c r="T293" s="325">
        <v>-4.8037489999999998</v>
      </c>
      <c r="U293" s="322"/>
      <c r="V293" s="325">
        <f t="shared" si="8"/>
        <v>0.5</v>
      </c>
      <c r="W293" s="325">
        <v>11.716081999999961</v>
      </c>
      <c r="X293" s="325">
        <v>0</v>
      </c>
      <c r="Y293" s="325">
        <v>0.10831329999999983</v>
      </c>
      <c r="Z293" s="325">
        <f t="shared" si="9"/>
        <v>10.831329999999983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C1E03-EB7B-4742-AEA8-A34866716BFB}">
  <sheetPr>
    <outlinePr summaryBelow="0"/>
    <pageSetUpPr fitToPage="1"/>
  </sheetPr>
  <dimension ref="A2:W69"/>
  <sheetViews>
    <sheetView showGridLines="0" zoomScale="110" zoomScaleNormal="110" zoomScaleSheetLayoutView="100" workbookViewId="0">
      <selection activeCell="I53" sqref="I53"/>
    </sheetView>
  </sheetViews>
  <sheetFormatPr defaultColWidth="9.140625" defaultRowHeight="12" outlineLevelRow="1" outlineLevelCol="1"/>
  <cols>
    <col min="1" max="1" width="5.140625" style="55" customWidth="1"/>
    <col min="2" max="2" width="51.7109375" style="55" customWidth="1"/>
    <col min="3" max="3" width="25.85546875" style="55" hidden="1" customWidth="1" outlineLevel="1"/>
    <col min="4" max="6" width="7.42578125" style="55" hidden="1" customWidth="1" outlineLevel="1"/>
    <col min="7" max="7" width="7.42578125" style="57" customWidth="1" collapsed="1"/>
    <col min="8" max="9" width="7.42578125" style="57" customWidth="1"/>
    <col min="10" max="12" width="7.42578125" style="55" customWidth="1"/>
    <col min="13" max="16" width="6.140625" style="55" customWidth="1"/>
    <col min="17" max="17" width="6" style="55" customWidth="1"/>
    <col min="18" max="16384" width="9.140625" style="55"/>
  </cols>
  <sheetData>
    <row r="2" spans="2:23" ht="12.75">
      <c r="B2" s="111" t="s">
        <v>6</v>
      </c>
      <c r="C2" s="112"/>
      <c r="D2" s="112"/>
      <c r="E2" s="112"/>
      <c r="F2" s="112"/>
      <c r="G2" s="112"/>
      <c r="H2" s="113"/>
      <c r="I2" s="113"/>
      <c r="J2" s="112"/>
      <c r="K2" s="112"/>
      <c r="L2" s="112"/>
      <c r="M2" s="112"/>
      <c r="N2" s="112"/>
      <c r="O2" s="112"/>
      <c r="P2" s="112"/>
      <c r="Q2" s="112"/>
    </row>
    <row r="3" spans="2:23" ht="12.75">
      <c r="B3" s="114" t="s">
        <v>81</v>
      </c>
      <c r="C3" s="115"/>
      <c r="D3" s="115"/>
      <c r="E3" s="115"/>
      <c r="F3" s="115"/>
      <c r="G3" s="115"/>
      <c r="H3" s="115"/>
      <c r="I3" s="115"/>
      <c r="J3" s="115"/>
      <c r="K3" s="115"/>
      <c r="L3" s="115"/>
      <c r="M3" s="115"/>
      <c r="N3" s="115"/>
      <c r="O3" s="115"/>
      <c r="P3" s="115"/>
      <c r="Q3" s="115"/>
    </row>
    <row r="4" spans="2:23" ht="12.75">
      <c r="B4" s="116"/>
      <c r="C4" s="116"/>
      <c r="D4" s="116"/>
      <c r="E4" s="116"/>
      <c r="F4" s="116"/>
      <c r="G4" s="116"/>
      <c r="H4" s="116"/>
      <c r="I4" s="116"/>
      <c r="J4" s="116"/>
      <c r="K4" s="116"/>
      <c r="L4" s="116"/>
      <c r="M4" s="116"/>
      <c r="N4" s="116"/>
      <c r="O4" s="116"/>
      <c r="P4" s="116"/>
      <c r="Q4" s="116"/>
    </row>
    <row r="5" spans="2:23" ht="24.75" customHeight="1">
      <c r="B5" s="117"/>
      <c r="C5" s="117"/>
      <c r="D5" s="118"/>
      <c r="E5" s="119"/>
      <c r="F5" s="118"/>
      <c r="G5" s="120"/>
      <c r="L5" s="589" t="s">
        <v>82</v>
      </c>
      <c r="M5" s="589"/>
      <c r="N5" s="589"/>
      <c r="O5" s="589"/>
      <c r="P5" s="589"/>
      <c r="Q5" s="589"/>
    </row>
    <row r="6" spans="2:23">
      <c r="B6" s="121"/>
      <c r="C6" s="121"/>
      <c r="D6" s="122">
        <v>2015</v>
      </c>
      <c r="E6" s="122">
        <v>2016</v>
      </c>
      <c r="F6" s="122">
        <v>2017</v>
      </c>
      <c r="G6" s="123">
        <v>2018</v>
      </c>
      <c r="H6" s="123">
        <v>2019</v>
      </c>
      <c r="I6" s="123">
        <v>2020</v>
      </c>
      <c r="J6" s="122">
        <v>2021</v>
      </c>
      <c r="K6" s="123">
        <v>2022</v>
      </c>
      <c r="L6" s="124">
        <v>2023</v>
      </c>
      <c r="M6" s="124">
        <v>2024</v>
      </c>
      <c r="N6" s="124">
        <v>2025</v>
      </c>
      <c r="O6" s="124">
        <v>2026</v>
      </c>
      <c r="P6" s="124">
        <v>2027</v>
      </c>
      <c r="Q6" s="124">
        <v>2028</v>
      </c>
    </row>
    <row r="7" spans="2:23" ht="5.25" customHeight="1">
      <c r="B7" s="118"/>
      <c r="C7" s="118"/>
      <c r="D7" s="125"/>
      <c r="E7" s="125"/>
      <c r="F7" s="125"/>
      <c r="G7" s="126"/>
      <c r="H7" s="126"/>
      <c r="I7" s="126"/>
      <c r="J7" s="125"/>
      <c r="K7" s="126"/>
      <c r="L7" s="127"/>
      <c r="M7" s="127"/>
      <c r="N7" s="127"/>
      <c r="O7" s="127"/>
      <c r="P7" s="127"/>
      <c r="Q7" s="127"/>
    </row>
    <row r="8" spans="2:23" ht="15" customHeight="1">
      <c r="B8" s="128" t="s">
        <v>137</v>
      </c>
      <c r="C8" s="128"/>
      <c r="D8" s="125"/>
      <c r="E8" s="125"/>
      <c r="F8" s="125"/>
      <c r="G8" s="126"/>
      <c r="H8" s="126"/>
      <c r="I8" s="126"/>
      <c r="J8" s="125"/>
      <c r="K8" s="126"/>
      <c r="L8" s="127"/>
      <c r="M8" s="127"/>
      <c r="N8" s="127"/>
      <c r="O8" s="127"/>
      <c r="P8" s="127"/>
      <c r="Q8" s="127"/>
    </row>
    <row r="9" spans="2:23" ht="15" customHeight="1">
      <c r="B9" s="128" t="s">
        <v>138</v>
      </c>
      <c r="C9" s="129" t="s">
        <v>83</v>
      </c>
      <c r="D9" s="130">
        <v>79.909919984120094</v>
      </c>
      <c r="E9" s="130">
        <v>83.81833067489184</v>
      </c>
      <c r="F9" s="130">
        <v>82.680870784376722</v>
      </c>
      <c r="G9" s="130">
        <v>82.83114433938205</v>
      </c>
      <c r="H9" s="130">
        <v>84.310771762407796</v>
      </c>
      <c r="I9" s="130">
        <v>99.741742870525258</v>
      </c>
      <c r="J9" s="130">
        <v>95.514492632161293</v>
      </c>
      <c r="K9" s="130">
        <v>92.129029466987191</v>
      </c>
      <c r="L9" s="131">
        <v>93.262750670302921</v>
      </c>
      <c r="M9" s="131">
        <v>94.608527701653088</v>
      </c>
      <c r="N9" s="131">
        <v>96.125145521087035</v>
      </c>
      <c r="O9" s="131">
        <v>97.316958903981089</v>
      </c>
      <c r="P9" s="131">
        <v>98.417855046343561</v>
      </c>
      <c r="Q9" s="131">
        <v>99.577569494078105</v>
      </c>
      <c r="R9" s="75"/>
      <c r="S9" s="75"/>
      <c r="T9" s="75"/>
      <c r="U9" s="75"/>
      <c r="V9" s="75"/>
      <c r="W9" s="75"/>
    </row>
    <row r="10" spans="2:23" ht="1.5" hidden="1" customHeight="1">
      <c r="B10" s="132"/>
      <c r="C10" s="133"/>
      <c r="D10" s="130" t="s">
        <v>139</v>
      </c>
      <c r="E10" s="130" t="s">
        <v>139</v>
      </c>
      <c r="F10" s="130" t="s">
        <v>139</v>
      </c>
      <c r="G10" s="130" t="s">
        <v>139</v>
      </c>
      <c r="H10" s="130" t="s">
        <v>139</v>
      </c>
      <c r="I10" s="130" t="s">
        <v>139</v>
      </c>
      <c r="J10" s="130" t="s">
        <v>139</v>
      </c>
      <c r="K10" s="130" t="s">
        <v>139</v>
      </c>
      <c r="L10" s="131" t="s">
        <v>139</v>
      </c>
      <c r="M10" s="131" t="s">
        <v>139</v>
      </c>
      <c r="N10" s="131" t="s">
        <v>139</v>
      </c>
      <c r="O10" s="131" t="s">
        <v>139</v>
      </c>
      <c r="P10" s="131" t="s">
        <v>139</v>
      </c>
      <c r="Q10" s="131" t="s">
        <v>139</v>
      </c>
      <c r="R10" s="75"/>
      <c r="S10" s="75"/>
      <c r="T10" s="75"/>
      <c r="U10" s="75"/>
      <c r="V10" s="75"/>
      <c r="W10" s="75"/>
    </row>
    <row r="11" spans="2:23" ht="12" customHeight="1" collapsed="1">
      <c r="B11" s="134" t="s">
        <v>84</v>
      </c>
      <c r="C11" s="133" t="s">
        <v>85</v>
      </c>
      <c r="D11" s="130">
        <v>103.3154949827105</v>
      </c>
      <c r="E11" s="130">
        <v>105.67451101005429</v>
      </c>
      <c r="F11" s="130">
        <v>103.40384366175694</v>
      </c>
      <c r="G11" s="130">
        <v>102.90152229250077</v>
      </c>
      <c r="H11" s="130">
        <v>104.030445038173</v>
      </c>
      <c r="I11" s="130">
        <v>122.94713033899377</v>
      </c>
      <c r="J11" s="130">
        <v>117.37741735240206</v>
      </c>
      <c r="K11" s="130">
        <v>112.4913043284719</v>
      </c>
      <c r="L11" s="131">
        <v>112.41934189921308</v>
      </c>
      <c r="M11" s="131">
        <v>113.63431464604203</v>
      </c>
      <c r="N11" s="131">
        <v>114.96522367838183</v>
      </c>
      <c r="O11" s="131">
        <v>115.87941566647859</v>
      </c>
      <c r="P11" s="131">
        <v>116.71022652529713</v>
      </c>
      <c r="Q11" s="131">
        <v>117.80160893180341</v>
      </c>
      <c r="R11" s="75"/>
      <c r="S11" s="75"/>
      <c r="T11" s="75"/>
      <c r="U11" s="75"/>
      <c r="V11" s="75"/>
      <c r="W11" s="75"/>
    </row>
    <row r="12" spans="2:23" ht="12" hidden="1" customHeight="1" outlineLevel="1">
      <c r="B12" s="135" t="s">
        <v>86</v>
      </c>
      <c r="C12" s="133" t="s">
        <v>86</v>
      </c>
      <c r="D12" s="136">
        <v>110.88406447004695</v>
      </c>
      <c r="E12" s="136">
        <v>113.84271037086445</v>
      </c>
      <c r="F12" s="136">
        <v>111.70253469862247</v>
      </c>
      <c r="G12" s="136">
        <v>111.55425309113731</v>
      </c>
      <c r="H12" s="136">
        <v>113.00905308880058</v>
      </c>
      <c r="I12" s="136">
        <v>134.09721806808219</v>
      </c>
      <c r="J12" s="136">
        <v>128.11984687383651</v>
      </c>
      <c r="K12" s="136">
        <v>123.12057699916407</v>
      </c>
      <c r="L12" s="137">
        <v>123.46956774310929</v>
      </c>
      <c r="M12" s="137">
        <v>125.39281220612443</v>
      </c>
      <c r="N12" s="137">
        <v>127.19719665189378</v>
      </c>
      <c r="O12" s="137">
        <v>128.41348729781129</v>
      </c>
      <c r="P12" s="137">
        <v>129.52782349784803</v>
      </c>
      <c r="Q12" s="137">
        <v>130.91843500037965</v>
      </c>
      <c r="R12" s="75"/>
      <c r="S12" s="75"/>
      <c r="T12" s="75"/>
      <c r="U12" s="75"/>
      <c r="V12" s="75"/>
      <c r="W12" s="75"/>
    </row>
    <row r="13" spans="2:23" ht="12" customHeight="1">
      <c r="B13" s="132" t="s">
        <v>140</v>
      </c>
      <c r="C13" s="133" t="s">
        <v>87</v>
      </c>
      <c r="D13" s="136">
        <v>92.028851897644799</v>
      </c>
      <c r="E13" s="136">
        <v>92.396823555258251</v>
      </c>
      <c r="F13" s="136">
        <v>90.942245803943763</v>
      </c>
      <c r="G13" s="136">
        <v>90.776119069184929</v>
      </c>
      <c r="H13" s="136">
        <v>90.21016501387686</v>
      </c>
      <c r="I13" s="136">
        <v>118.87227160843578</v>
      </c>
      <c r="J13" s="136">
        <v>115.07408697259902</v>
      </c>
      <c r="K13" s="136">
        <v>106.59034676794781</v>
      </c>
      <c r="L13" s="137">
        <v>105.1062209802829</v>
      </c>
      <c r="M13" s="137">
        <v>102.20757340454207</v>
      </c>
      <c r="N13" s="137">
        <v>99.161501324003893</v>
      </c>
      <c r="O13" s="137">
        <v>96.16888282391389</v>
      </c>
      <c r="P13" s="137">
        <v>93.603653643057214</v>
      </c>
      <c r="Q13" s="137">
        <v>91.131267564941339</v>
      </c>
      <c r="R13" s="75"/>
      <c r="S13" s="75"/>
      <c r="T13" s="75"/>
      <c r="U13" s="75"/>
      <c r="V13" s="75"/>
      <c r="W13" s="75"/>
    </row>
    <row r="14" spans="2:23" ht="12" customHeight="1">
      <c r="B14" s="132" t="s">
        <v>88</v>
      </c>
      <c r="C14" s="133" t="s">
        <v>88</v>
      </c>
      <c r="D14" s="136">
        <v>90.907095847450805</v>
      </c>
      <c r="E14" s="136">
        <v>90.059600677056054</v>
      </c>
      <c r="F14" s="136">
        <v>87.560570000318165</v>
      </c>
      <c r="G14" s="136">
        <v>85.580340077613045</v>
      </c>
      <c r="H14" s="136">
        <v>83.535810284043322</v>
      </c>
      <c r="I14" s="136">
        <v>96.616389809427076</v>
      </c>
      <c r="J14" s="136">
        <v>94.868497032544127</v>
      </c>
      <c r="K14" s="136">
        <v>90.886676520019932</v>
      </c>
      <c r="L14" s="137">
        <v>89.757611890860915</v>
      </c>
      <c r="M14" s="137">
        <v>88.983755505058909</v>
      </c>
      <c r="N14" s="137">
        <v>87.899881363355078</v>
      </c>
      <c r="O14" s="137">
        <v>86.91234246450054</v>
      </c>
      <c r="P14" s="137">
        <v>86.172324319756825</v>
      </c>
      <c r="Q14" s="137">
        <v>85.400897706831813</v>
      </c>
      <c r="R14" s="75"/>
      <c r="S14" s="75"/>
      <c r="T14" s="75"/>
      <c r="U14" s="75"/>
      <c r="V14" s="75"/>
      <c r="W14" s="75"/>
    </row>
    <row r="15" spans="2:23" ht="12" customHeight="1">
      <c r="B15" s="138" t="s">
        <v>90</v>
      </c>
      <c r="C15" s="133" t="s">
        <v>90</v>
      </c>
      <c r="D15" s="136">
        <v>95.431653105486092</v>
      </c>
      <c r="E15" s="136">
        <v>96.109042942462139</v>
      </c>
      <c r="F15" s="136">
        <v>98.130715005210604</v>
      </c>
      <c r="G15" s="136">
        <v>97.782513140490479</v>
      </c>
      <c r="H15" s="136">
        <v>97.426398948160823</v>
      </c>
      <c r="I15" s="136">
        <v>114.65552252454304</v>
      </c>
      <c r="J15" s="136">
        <v>112.57700125218952</v>
      </c>
      <c r="K15" s="136">
        <v>111.06284741012449</v>
      </c>
      <c r="L15" s="137">
        <v>111.43518608527447</v>
      </c>
      <c r="M15" s="137">
        <v>112.40860586256348</v>
      </c>
      <c r="N15" s="137">
        <v>112.77989292314363</v>
      </c>
      <c r="O15" s="137">
        <v>113.34582944981955</v>
      </c>
      <c r="P15" s="137">
        <v>114.17425096030493</v>
      </c>
      <c r="Q15" s="137">
        <v>114.99163454114681</v>
      </c>
      <c r="R15" s="75"/>
      <c r="S15" s="75"/>
      <c r="T15" s="75"/>
      <c r="U15" s="75"/>
      <c r="V15" s="75"/>
      <c r="W15" s="75"/>
    </row>
    <row r="16" spans="2:23" ht="12" customHeight="1">
      <c r="B16" s="138" t="s">
        <v>91</v>
      </c>
      <c r="C16" s="133" t="s">
        <v>91</v>
      </c>
      <c r="D16" s="136">
        <v>71.946513426167641</v>
      </c>
      <c r="E16" s="136">
        <v>68.955320058441856</v>
      </c>
      <c r="F16" s="136">
        <v>64.635677469116899</v>
      </c>
      <c r="G16" s="136">
        <v>61.316346996686924</v>
      </c>
      <c r="H16" s="136">
        <v>58.925562727811908</v>
      </c>
      <c r="I16" s="136">
        <v>67.986010577225201</v>
      </c>
      <c r="J16" s="136">
        <v>68.622974942736164</v>
      </c>
      <c r="K16" s="136">
        <v>66.535291759868628</v>
      </c>
      <c r="L16" s="137">
        <v>67.163504061744689</v>
      </c>
      <c r="M16" s="137">
        <v>66.473474188662721</v>
      </c>
      <c r="N16" s="137">
        <v>64.402612502958064</v>
      </c>
      <c r="O16" s="137">
        <v>62.328404441729276</v>
      </c>
      <c r="P16" s="137">
        <v>60.94122949723193</v>
      </c>
      <c r="Q16" s="137">
        <v>59.621453617114383</v>
      </c>
      <c r="R16" s="75"/>
      <c r="S16" s="75"/>
      <c r="T16" s="75"/>
      <c r="U16" s="75"/>
      <c r="V16" s="75"/>
      <c r="W16" s="75"/>
    </row>
    <row r="17" spans="2:23" ht="12" customHeight="1">
      <c r="B17" s="138" t="s">
        <v>92</v>
      </c>
      <c r="C17" s="133" t="s">
        <v>92</v>
      </c>
      <c r="D17" s="136">
        <v>135.28113305001042</v>
      </c>
      <c r="E17" s="136">
        <v>134.78508798569629</v>
      </c>
      <c r="F17" s="136">
        <v>134.16263914457792</v>
      </c>
      <c r="G17" s="136">
        <v>134.44310149481396</v>
      </c>
      <c r="H17" s="136">
        <v>134.13551235411722</v>
      </c>
      <c r="I17" s="136">
        <v>154.88970632502921</v>
      </c>
      <c r="J17" s="136">
        <v>149.80891391952457</v>
      </c>
      <c r="K17" s="136">
        <v>144.69578917980905</v>
      </c>
      <c r="L17" s="137">
        <v>140.28695868244662</v>
      </c>
      <c r="M17" s="137">
        <v>140.03668895650063</v>
      </c>
      <c r="N17" s="137">
        <v>138.48807569248888</v>
      </c>
      <c r="O17" s="137">
        <v>136.88784745609621</v>
      </c>
      <c r="P17" s="137">
        <v>134.79273430009124</v>
      </c>
      <c r="Q17" s="137">
        <v>131.94936451083328</v>
      </c>
      <c r="R17" s="75"/>
      <c r="S17" s="75"/>
      <c r="T17" s="75"/>
      <c r="U17" s="75"/>
      <c r="V17" s="75"/>
      <c r="W17" s="75"/>
    </row>
    <row r="18" spans="2:23" ht="12" customHeight="1">
      <c r="B18" s="139" t="s">
        <v>94</v>
      </c>
      <c r="C18" s="133" t="s">
        <v>94</v>
      </c>
      <c r="D18" s="136">
        <v>103.29922010366461</v>
      </c>
      <c r="E18" s="136">
        <v>102.74853080526194</v>
      </c>
      <c r="F18" s="136">
        <v>101.79957074973419</v>
      </c>
      <c r="G18" s="136">
        <v>100.41548129805899</v>
      </c>
      <c r="H18" s="136">
        <v>98.221004116376136</v>
      </c>
      <c r="I18" s="136">
        <v>120.37556585977143</v>
      </c>
      <c r="J18" s="136">
        <v>118.38596808861475</v>
      </c>
      <c r="K18" s="136">
        <v>111.97750538855101</v>
      </c>
      <c r="L18" s="137">
        <v>110.45903332151778</v>
      </c>
      <c r="M18" s="137">
        <v>108.33537512195728</v>
      </c>
      <c r="N18" s="137">
        <v>107.92567195806157</v>
      </c>
      <c r="O18" s="137">
        <v>108.25585522043862</v>
      </c>
      <c r="P18" s="137">
        <v>108.73650675743424</v>
      </c>
      <c r="Q18" s="137">
        <v>109.31940044871322</v>
      </c>
      <c r="R18" s="75"/>
      <c r="S18" s="75"/>
      <c r="T18" s="75"/>
      <c r="U18" s="75"/>
      <c r="V18" s="75"/>
      <c r="W18" s="75"/>
    </row>
    <row r="19" spans="2:23" ht="12" customHeight="1">
      <c r="B19" s="132" t="s">
        <v>96</v>
      </c>
      <c r="C19" s="133" t="s">
        <v>96</v>
      </c>
      <c r="D19" s="136">
        <v>228.28513673154256</v>
      </c>
      <c r="E19" s="136">
        <v>232.42966203166037</v>
      </c>
      <c r="F19" s="136">
        <v>231.31933759196346</v>
      </c>
      <c r="G19" s="136">
        <v>232.38626513370369</v>
      </c>
      <c r="H19" s="136">
        <v>236.43070963481802</v>
      </c>
      <c r="I19" s="136">
        <v>258.70861300610073</v>
      </c>
      <c r="J19" s="136">
        <v>255.39402376463767</v>
      </c>
      <c r="K19" s="136">
        <v>261.2888098730852</v>
      </c>
      <c r="L19" s="137">
        <v>258.19015068024163</v>
      </c>
      <c r="M19" s="137">
        <v>256.33646186630529</v>
      </c>
      <c r="N19" s="137">
        <v>257.58670601385603</v>
      </c>
      <c r="O19" s="137">
        <v>259.24420893625404</v>
      </c>
      <c r="P19" s="137">
        <v>261.47747959883952</v>
      </c>
      <c r="Q19" s="137">
        <v>263.9997867934261</v>
      </c>
      <c r="R19" s="75"/>
      <c r="S19" s="75"/>
      <c r="T19" s="75"/>
      <c r="U19" s="75"/>
      <c r="V19" s="75"/>
      <c r="W19" s="75"/>
    </row>
    <row r="20" spans="2:23" ht="12" customHeight="1">
      <c r="B20" s="132" t="s">
        <v>97</v>
      </c>
      <c r="C20" s="133" t="s">
        <v>97</v>
      </c>
      <c r="D20" s="136">
        <v>86.658289076823607</v>
      </c>
      <c r="E20" s="136">
        <v>86.569230407594844</v>
      </c>
      <c r="F20" s="136">
        <v>85.6415898644034</v>
      </c>
      <c r="G20" s="136">
        <v>85.154235866154323</v>
      </c>
      <c r="H20" s="136">
        <v>84.484762869759294</v>
      </c>
      <c r="I20" s="136">
        <v>105.59052026124458</v>
      </c>
      <c r="J20" s="136">
        <v>108.08415659379953</v>
      </c>
      <c r="K20" s="136">
        <v>102.63585903621491</v>
      </c>
      <c r="L20" s="137">
        <v>106.25373275500594</v>
      </c>
      <c r="M20" s="137">
        <v>109.72508890333343</v>
      </c>
      <c r="N20" s="137">
        <v>112.80668475013023</v>
      </c>
      <c r="O20" s="137">
        <v>112.7060768463885</v>
      </c>
      <c r="P20" s="137">
        <v>113.02871348900014</v>
      </c>
      <c r="Q20" s="137">
        <v>113.11045019413743</v>
      </c>
      <c r="R20" s="75"/>
      <c r="S20" s="75"/>
      <c r="T20" s="75"/>
      <c r="U20" s="75"/>
      <c r="V20" s="75"/>
      <c r="W20" s="75"/>
    </row>
    <row r="21" spans="2:23" ht="12" customHeight="1">
      <c r="B21" s="132" t="s">
        <v>98</v>
      </c>
      <c r="C21" s="133" t="s">
        <v>99</v>
      </c>
      <c r="D21" s="136">
        <v>105.12797823797342</v>
      </c>
      <c r="E21" s="136">
        <v>107.15632973345957</v>
      </c>
      <c r="F21" s="136">
        <v>106.20730232808877</v>
      </c>
      <c r="G21" s="136">
        <v>107.43671369242065</v>
      </c>
      <c r="H21" s="136">
        <v>108.744672243282</v>
      </c>
      <c r="I21" s="136">
        <v>133.48375746956972</v>
      </c>
      <c r="J21" s="136">
        <v>126.42636577407535</v>
      </c>
      <c r="K21" s="136">
        <v>121.6828793463313</v>
      </c>
      <c r="L21" s="137">
        <v>122.23146751005869</v>
      </c>
      <c r="M21" s="137">
        <v>125.83630477525716</v>
      </c>
      <c r="N21" s="137">
        <v>129.14146227135751</v>
      </c>
      <c r="O21" s="137">
        <v>131.76734492144402</v>
      </c>
      <c r="P21" s="137">
        <v>133.98325532018336</v>
      </c>
      <c r="Q21" s="137">
        <v>136.21860782235413</v>
      </c>
      <c r="R21" s="75"/>
      <c r="S21" s="75"/>
      <c r="T21" s="75"/>
      <c r="U21" s="75"/>
      <c r="V21" s="75"/>
      <c r="W21" s="75"/>
    </row>
    <row r="22" spans="2:23" ht="2.25" customHeight="1">
      <c r="B22" s="132"/>
      <c r="C22" s="133"/>
      <c r="D22" s="136" t="s">
        <v>139</v>
      </c>
      <c r="E22" s="136" t="s">
        <v>139</v>
      </c>
      <c r="F22" s="136" t="s">
        <v>139</v>
      </c>
      <c r="G22" s="136" t="s">
        <v>139</v>
      </c>
      <c r="H22" s="136" t="s">
        <v>139</v>
      </c>
      <c r="I22" s="140" t="s">
        <v>139</v>
      </c>
      <c r="J22" s="136" t="s">
        <v>139</v>
      </c>
      <c r="K22" s="140" t="s">
        <v>139</v>
      </c>
      <c r="L22" s="137" t="s">
        <v>139</v>
      </c>
      <c r="M22" s="137" t="s">
        <v>139</v>
      </c>
      <c r="N22" s="137" t="s">
        <v>139</v>
      </c>
      <c r="O22" s="137" t="s">
        <v>139</v>
      </c>
      <c r="P22" s="137" t="s">
        <v>139</v>
      </c>
      <c r="Q22" s="137" t="s">
        <v>139</v>
      </c>
      <c r="R22" s="75"/>
      <c r="S22" s="75"/>
      <c r="T22" s="75"/>
      <c r="U22" s="75"/>
      <c r="V22" s="75"/>
      <c r="W22" s="75"/>
    </row>
    <row r="23" spans="2:23" ht="11.25" hidden="1" customHeight="1">
      <c r="B23" s="87" t="s">
        <v>141</v>
      </c>
      <c r="C23" s="133" t="s">
        <v>105</v>
      </c>
      <c r="D23" s="73">
        <v>46.424040197361535</v>
      </c>
      <c r="E23" s="73">
        <v>49.491780808578632</v>
      </c>
      <c r="F23" s="73">
        <v>50.158422284059476</v>
      </c>
      <c r="G23" s="73">
        <v>51.032980165599184</v>
      </c>
      <c r="H23" s="73">
        <v>52.574383697630267</v>
      </c>
      <c r="I23" s="141">
        <v>62.297524577097555</v>
      </c>
      <c r="J23" s="73">
        <v>59.371003948786495</v>
      </c>
      <c r="K23" s="141">
        <v>56.21655068751032</v>
      </c>
      <c r="L23" s="74">
        <v>57.291367562347098</v>
      </c>
      <c r="M23" s="74">
        <v>57.698179888499141</v>
      </c>
      <c r="N23" s="74">
        <v>58.186937733078423</v>
      </c>
      <c r="O23" s="74">
        <v>58.445019440857081</v>
      </c>
      <c r="P23" s="74">
        <v>58.622604190166371</v>
      </c>
      <c r="Q23" s="74" t="s">
        <v>139</v>
      </c>
      <c r="R23" s="75"/>
      <c r="S23" s="75"/>
      <c r="T23" s="75"/>
      <c r="U23" s="75"/>
      <c r="V23" s="75"/>
      <c r="W23" s="75"/>
    </row>
    <row r="24" spans="2:23" ht="15" customHeight="1" collapsed="1">
      <c r="B24" s="87" t="s">
        <v>102</v>
      </c>
      <c r="C24" s="87" t="s">
        <v>102</v>
      </c>
      <c r="D24" s="130">
        <v>43.800364055064883</v>
      </c>
      <c r="E24" s="130">
        <v>49.225749152422637</v>
      </c>
      <c r="F24" s="130">
        <v>51.420549601611121</v>
      </c>
      <c r="G24" s="130">
        <v>52.703293453325522</v>
      </c>
      <c r="H24" s="130">
        <v>55.127089320992091</v>
      </c>
      <c r="I24" s="142">
        <v>64.772012452074279</v>
      </c>
      <c r="J24" s="130">
        <v>64.263426959053533</v>
      </c>
      <c r="K24" s="142">
        <v>64.584225945524551</v>
      </c>
      <c r="L24" s="131">
        <v>67.541023699396064</v>
      </c>
      <c r="M24" s="131">
        <v>69.798097388453172</v>
      </c>
      <c r="N24" s="131">
        <v>72.153857174477565</v>
      </c>
      <c r="O24" s="131">
        <v>74.266872976283921</v>
      </c>
      <c r="P24" s="131">
        <v>76.266308282923575</v>
      </c>
      <c r="Q24" s="131">
        <v>78.052245204862118</v>
      </c>
      <c r="R24" s="75"/>
      <c r="S24" s="75"/>
      <c r="T24" s="75"/>
      <c r="U24" s="75"/>
      <c r="V24" s="75"/>
      <c r="W24" s="75"/>
    </row>
    <row r="25" spans="2:23" ht="2.25" hidden="1" customHeight="1" outlineLevel="1">
      <c r="B25" s="88" t="s">
        <v>103</v>
      </c>
      <c r="C25" s="80" t="s">
        <v>103</v>
      </c>
      <c r="D25" s="81">
        <v>43.941184776783601</v>
      </c>
      <c r="E25" s="81">
        <v>50.027318966784854</v>
      </c>
      <c r="F25" s="81">
        <v>53.036299941491222</v>
      </c>
      <c r="G25" s="81">
        <v>54.642035459579724</v>
      </c>
      <c r="H25" s="81">
        <v>57.627387029009235</v>
      </c>
      <c r="I25" s="101">
        <v>67.364144804225219</v>
      </c>
      <c r="J25" s="81">
        <v>67.013108600806859</v>
      </c>
      <c r="K25" s="101">
        <v>68.544875595335711</v>
      </c>
      <c r="L25" s="82">
        <v>72.63793462409275</v>
      </c>
      <c r="M25" s="82">
        <v>75.934878816431507</v>
      </c>
      <c r="N25" s="82">
        <v>79.23165207971094</v>
      </c>
      <c r="O25" s="82">
        <v>82.179289495443484</v>
      </c>
      <c r="P25" s="137">
        <v>85.008793629391235</v>
      </c>
      <c r="Q25" s="137">
        <v>87.61687760535213</v>
      </c>
      <c r="R25" s="75"/>
      <c r="S25" s="75"/>
      <c r="T25" s="75"/>
      <c r="U25" s="75"/>
      <c r="V25" s="75"/>
      <c r="W25" s="75"/>
    </row>
    <row r="26" spans="2:23" ht="11.25" customHeight="1">
      <c r="B26" s="89" t="s">
        <v>104</v>
      </c>
      <c r="C26" s="133" t="s">
        <v>105</v>
      </c>
      <c r="D26" s="130">
        <v>46.424040197361535</v>
      </c>
      <c r="E26" s="130">
        <v>49.491780808578632</v>
      </c>
      <c r="F26" s="130">
        <v>50.158422284059476</v>
      </c>
      <c r="G26" s="130">
        <v>51.032980165599184</v>
      </c>
      <c r="H26" s="130">
        <v>52.574383697630267</v>
      </c>
      <c r="I26" s="130">
        <v>62.297524577097555</v>
      </c>
      <c r="J26" s="130">
        <v>59.371003948786495</v>
      </c>
      <c r="K26" s="130">
        <v>56.21655068751032</v>
      </c>
      <c r="L26" s="131">
        <v>57.291367562347098</v>
      </c>
      <c r="M26" s="131">
        <v>57.698179888499141</v>
      </c>
      <c r="N26" s="131">
        <v>58.186937733078423</v>
      </c>
      <c r="O26" s="131">
        <v>58.445019440857081</v>
      </c>
      <c r="P26" s="131">
        <v>58.622604190166371</v>
      </c>
      <c r="Q26" s="131">
        <v>58.663923701592346</v>
      </c>
      <c r="R26" s="75"/>
      <c r="S26" s="75"/>
      <c r="T26" s="75"/>
      <c r="U26" s="75"/>
      <c r="V26" s="75"/>
      <c r="W26" s="75"/>
    </row>
    <row r="27" spans="2:23" ht="15" customHeight="1">
      <c r="B27" s="90" t="s">
        <v>106</v>
      </c>
      <c r="C27" s="91" t="s">
        <v>107</v>
      </c>
      <c r="D27" s="136">
        <v>46.536627058256421</v>
      </c>
      <c r="E27" s="136">
        <v>51.876805283282714</v>
      </c>
      <c r="F27" s="136">
        <v>53.867569827676121</v>
      </c>
      <c r="G27" s="136">
        <v>55.306961306773673</v>
      </c>
      <c r="H27" s="136">
        <v>57.627798129971957</v>
      </c>
      <c r="I27" s="136">
        <v>67.489536854191016</v>
      </c>
      <c r="J27" s="136">
        <v>67.061568365801335</v>
      </c>
      <c r="K27" s="136">
        <v>68.359726098171478</v>
      </c>
      <c r="L27" s="137">
        <v>71.441485123209091</v>
      </c>
      <c r="M27" s="137">
        <v>74.07993790465612</v>
      </c>
      <c r="N27" s="137">
        <v>76.829534893804279</v>
      </c>
      <c r="O27" s="137">
        <v>79.306688876646348</v>
      </c>
      <c r="P27" s="137">
        <v>81.673176321589551</v>
      </c>
      <c r="Q27" s="137">
        <v>83.844571245682417</v>
      </c>
      <c r="R27" s="75"/>
      <c r="S27" s="75"/>
      <c r="T27" s="75"/>
      <c r="U27" s="75"/>
      <c r="V27" s="75"/>
      <c r="W27" s="75"/>
    </row>
    <row r="28" spans="2:23" ht="12" customHeight="1">
      <c r="B28" s="143" t="s">
        <v>108</v>
      </c>
      <c r="C28" s="91" t="s">
        <v>109</v>
      </c>
      <c r="D28" s="136">
        <v>44.965125546471839</v>
      </c>
      <c r="E28" s="136">
        <v>51.751363364209887</v>
      </c>
      <c r="F28" s="136">
        <v>55.122239223906689</v>
      </c>
      <c r="G28" s="136">
        <v>56.527002311275119</v>
      </c>
      <c r="H28" s="136">
        <v>59.846529051501768</v>
      </c>
      <c r="I28" s="136">
        <v>70.176986587578611</v>
      </c>
      <c r="J28" s="136">
        <v>71.52051907924988</v>
      </c>
      <c r="K28" s="136">
        <v>75.134050819842628</v>
      </c>
      <c r="L28" s="137">
        <v>79.070001444550513</v>
      </c>
      <c r="M28" s="137">
        <v>82.644601598796683</v>
      </c>
      <c r="N28" s="137">
        <v>86.181095427905504</v>
      </c>
      <c r="O28" s="137">
        <v>89.429580852177097</v>
      </c>
      <c r="P28" s="137">
        <v>92.528426249600528</v>
      </c>
      <c r="Q28" s="137">
        <v>95.395257039531529</v>
      </c>
      <c r="R28" s="75"/>
      <c r="S28" s="75"/>
      <c r="T28" s="75"/>
      <c r="U28" s="75"/>
      <c r="V28" s="75"/>
      <c r="W28" s="75"/>
    </row>
    <row r="29" spans="2:23" ht="12" customHeight="1">
      <c r="B29" s="144" t="s">
        <v>110</v>
      </c>
      <c r="C29" s="133" t="s">
        <v>111</v>
      </c>
      <c r="D29" s="136">
        <v>41.488823753768536</v>
      </c>
      <c r="E29" s="136">
        <v>50.700901426906512</v>
      </c>
      <c r="F29" s="136">
        <v>54.950620481767729</v>
      </c>
      <c r="G29" s="136">
        <v>56.659269463227801</v>
      </c>
      <c r="H29" s="136">
        <v>60.403606474544979</v>
      </c>
      <c r="I29" s="136">
        <v>70.137468125018685</v>
      </c>
      <c r="J29" s="136">
        <v>71.835980937370138</v>
      </c>
      <c r="K29" s="136">
        <v>77.097111920230333</v>
      </c>
      <c r="L29" s="137">
        <v>82.43432411157653</v>
      </c>
      <c r="M29" s="137">
        <v>87.154507076406546</v>
      </c>
      <c r="N29" s="137">
        <v>92.005527646901513</v>
      </c>
      <c r="O29" s="137">
        <v>96.49279193815245</v>
      </c>
      <c r="P29" s="137">
        <v>100.79868446424456</v>
      </c>
      <c r="Q29" s="137">
        <v>104.85268869608471</v>
      </c>
      <c r="R29" s="75"/>
      <c r="S29" s="75"/>
      <c r="T29" s="75"/>
      <c r="U29" s="75"/>
      <c r="V29" s="75"/>
      <c r="W29" s="75"/>
    </row>
    <row r="30" spans="2:23" ht="12" customHeight="1">
      <c r="B30" s="144" t="s">
        <v>112</v>
      </c>
      <c r="C30" s="133" t="s">
        <v>112</v>
      </c>
      <c r="D30" s="136">
        <v>69.048587042645622</v>
      </c>
      <c r="E30" s="136">
        <v>68.943091371390494</v>
      </c>
      <c r="F30" s="136">
        <v>69.669382586151357</v>
      </c>
      <c r="G30" s="136">
        <v>70.392344440794474</v>
      </c>
      <c r="H30" s="136">
        <v>75.040396296631599</v>
      </c>
      <c r="I30" s="136">
        <v>88.534388026180622</v>
      </c>
      <c r="J30" s="136">
        <v>84.684098750607234</v>
      </c>
      <c r="K30" s="136">
        <v>83.126034327878742</v>
      </c>
      <c r="L30" s="137">
        <v>83.248966254995864</v>
      </c>
      <c r="M30" s="137">
        <v>83.715611189969735</v>
      </c>
      <c r="N30" s="137">
        <v>83.821775154014148</v>
      </c>
      <c r="O30" s="137">
        <v>83.752157121278572</v>
      </c>
      <c r="P30" s="137">
        <v>83.747751226763981</v>
      </c>
      <c r="Q30" s="137">
        <v>83.562664706633043</v>
      </c>
      <c r="R30" s="75"/>
      <c r="S30" s="75"/>
      <c r="T30" s="75"/>
      <c r="U30" s="75"/>
      <c r="V30" s="75"/>
      <c r="W30" s="75"/>
    </row>
    <row r="31" spans="2:23" ht="12" customHeight="1">
      <c r="B31" s="143" t="s">
        <v>113</v>
      </c>
      <c r="C31" s="91" t="s">
        <v>114</v>
      </c>
      <c r="D31" s="136">
        <v>30.338686315755226</v>
      </c>
      <c r="E31" s="136">
        <v>31.198908374104455</v>
      </c>
      <c r="F31" s="136">
        <v>29.362481713967657</v>
      </c>
      <c r="G31" s="136">
        <v>28.998232461922068</v>
      </c>
      <c r="H31" s="136">
        <v>28.514307292725881</v>
      </c>
      <c r="I31" s="136">
        <v>37.027507776953719</v>
      </c>
      <c r="J31" s="136">
        <v>34.705997535739741</v>
      </c>
      <c r="K31" s="136">
        <v>32.672524280003223</v>
      </c>
      <c r="L31" s="137">
        <v>36.923325687469585</v>
      </c>
      <c r="M31" s="137">
        <v>37.944767102995613</v>
      </c>
      <c r="N31" s="137">
        <v>38.649334985168473</v>
      </c>
      <c r="O31" s="137">
        <v>38.986627156626376</v>
      </c>
      <c r="P31" s="137">
        <v>39.242613833360622</v>
      </c>
      <c r="Q31" s="137">
        <v>39.205949035076927</v>
      </c>
      <c r="R31" s="75"/>
      <c r="S31" s="75"/>
      <c r="T31" s="75"/>
      <c r="U31" s="75"/>
      <c r="V31" s="75"/>
      <c r="W31" s="75"/>
    </row>
    <row r="32" spans="2:23" ht="12" customHeight="1">
      <c r="B32" s="144" t="s">
        <v>115</v>
      </c>
      <c r="C32" s="133" t="s">
        <v>116</v>
      </c>
      <c r="D32" s="136">
        <v>15.286412536930991</v>
      </c>
      <c r="E32" s="136">
        <v>14.849320304709043</v>
      </c>
      <c r="F32" s="136">
        <v>14.311064460330215</v>
      </c>
      <c r="G32" s="136">
        <v>13.61960998298699</v>
      </c>
      <c r="H32" s="136">
        <v>13.747518868243372</v>
      </c>
      <c r="I32" s="136">
        <v>19.156116301405746</v>
      </c>
      <c r="J32" s="136">
        <v>16.455024927133081</v>
      </c>
      <c r="K32" s="136">
        <v>19.596816076925712</v>
      </c>
      <c r="L32" s="137">
        <v>24.850459319050803</v>
      </c>
      <c r="M32" s="137">
        <v>25.343495615040233</v>
      </c>
      <c r="N32" s="137">
        <v>25.26891669310853</v>
      </c>
      <c r="O32" s="137">
        <v>24.331742102089635</v>
      </c>
      <c r="P32" s="137">
        <v>23.208846362516457</v>
      </c>
      <c r="Q32" s="137">
        <v>21.544475639571065</v>
      </c>
      <c r="R32" s="75"/>
      <c r="S32" s="75"/>
      <c r="T32" s="75"/>
      <c r="U32" s="75"/>
      <c r="V32" s="75"/>
      <c r="W32" s="75"/>
    </row>
    <row r="33" spans="2:23" ht="12" customHeight="1">
      <c r="B33" s="143" t="s">
        <v>117</v>
      </c>
      <c r="C33" s="91" t="s">
        <v>118</v>
      </c>
      <c r="D33" s="136">
        <v>57.632507123323606</v>
      </c>
      <c r="E33" s="136">
        <v>61.315410361983361</v>
      </c>
      <c r="F33" s="136">
        <v>63.592429995103373</v>
      </c>
      <c r="G33" s="136">
        <v>67.399002398806346</v>
      </c>
      <c r="H33" s="136">
        <v>68.251479613291167</v>
      </c>
      <c r="I33" s="136">
        <v>77.293733051351239</v>
      </c>
      <c r="J33" s="136">
        <v>71.931542911473059</v>
      </c>
      <c r="K33" s="136">
        <v>69.733940192487182</v>
      </c>
      <c r="L33" s="137">
        <v>68.583088328983919</v>
      </c>
      <c r="M33" s="137">
        <v>69.312932766117981</v>
      </c>
      <c r="N33" s="137">
        <v>70.07881287361991</v>
      </c>
      <c r="O33" s="137">
        <v>70.29637441546177</v>
      </c>
      <c r="P33" s="137">
        <v>70.282713853741058</v>
      </c>
      <c r="Q33" s="137">
        <v>70.118159836710959</v>
      </c>
      <c r="R33" s="75"/>
      <c r="S33" s="75"/>
      <c r="T33" s="75"/>
      <c r="U33" s="75"/>
      <c r="V33" s="75"/>
      <c r="W33" s="75"/>
    </row>
    <row r="34" spans="2:23" ht="12" customHeight="1">
      <c r="B34" s="144" t="s">
        <v>142</v>
      </c>
      <c r="C34" s="133" t="s">
        <v>119</v>
      </c>
      <c r="D34" s="136">
        <v>72.57297753554154</v>
      </c>
      <c r="E34" s="136">
        <v>78.28594299597836</v>
      </c>
      <c r="F34" s="136">
        <v>83.631880409336603</v>
      </c>
      <c r="G34" s="136">
        <v>85.642192396052423</v>
      </c>
      <c r="H34" s="136">
        <v>87.870093760101966</v>
      </c>
      <c r="I34" s="136">
        <v>96.840353853510507</v>
      </c>
      <c r="J34" s="136">
        <v>90.721779923034944</v>
      </c>
      <c r="K34" s="136">
        <v>85.905899294771515</v>
      </c>
      <c r="L34" s="137">
        <v>88.402585710525997</v>
      </c>
      <c r="M34" s="137">
        <v>91.484909042989244</v>
      </c>
      <c r="N34" s="137">
        <v>93.749055770829642</v>
      </c>
      <c r="O34" s="137">
        <v>95.214880192244976</v>
      </c>
      <c r="P34" s="137">
        <v>96.011627633583416</v>
      </c>
      <c r="Q34" s="137">
        <v>96.21339373980085</v>
      </c>
      <c r="R34" s="75"/>
      <c r="S34" s="75"/>
      <c r="T34" s="75"/>
      <c r="U34" s="75"/>
      <c r="V34" s="75"/>
      <c r="W34" s="75"/>
    </row>
    <row r="35" spans="2:23" ht="12" customHeight="1">
      <c r="B35" s="94" t="s">
        <v>120</v>
      </c>
      <c r="C35" s="133" t="s">
        <v>120</v>
      </c>
      <c r="D35" s="136">
        <v>52.774800915990724</v>
      </c>
      <c r="E35" s="136">
        <v>56.724076734864994</v>
      </c>
      <c r="F35" s="136">
        <v>53.962770401784901</v>
      </c>
      <c r="G35" s="136">
        <v>53.649098582556988</v>
      </c>
      <c r="H35" s="136">
        <v>53.337384833130251</v>
      </c>
      <c r="I35" s="136">
        <v>60.111046291999614</v>
      </c>
      <c r="J35" s="136">
        <v>58.671974817474549</v>
      </c>
      <c r="K35" s="136">
        <v>56.028555030513203</v>
      </c>
      <c r="L35" s="137">
        <v>55.591598196715019</v>
      </c>
      <c r="M35" s="137">
        <v>55.78773471715288</v>
      </c>
      <c r="N35" s="137">
        <v>56.31721725555623</v>
      </c>
      <c r="O35" s="137">
        <v>56.922827086242314</v>
      </c>
      <c r="P35" s="137">
        <v>57.480089325032409</v>
      </c>
      <c r="Q35" s="137">
        <v>57.941292478585979</v>
      </c>
      <c r="R35" s="75"/>
      <c r="S35" s="75"/>
      <c r="T35" s="75"/>
      <c r="U35" s="75"/>
      <c r="V35" s="75"/>
      <c r="W35" s="75"/>
    </row>
    <row r="36" spans="2:23" ht="12" customHeight="1">
      <c r="B36" s="83" t="s">
        <v>143</v>
      </c>
      <c r="C36" s="91" t="s">
        <v>122</v>
      </c>
      <c r="D36" s="136">
        <v>33.937752387676817</v>
      </c>
      <c r="E36" s="136">
        <v>41.998170108253227</v>
      </c>
      <c r="F36" s="136">
        <v>42.268678739316641</v>
      </c>
      <c r="G36" s="136">
        <v>40.349799439373086</v>
      </c>
      <c r="H36" s="136">
        <v>43.852058933790552</v>
      </c>
      <c r="I36" s="136">
        <v>55.428315028433573</v>
      </c>
      <c r="J36" s="136">
        <v>52.07918414310975</v>
      </c>
      <c r="K36" s="136">
        <v>42.995318886920835</v>
      </c>
      <c r="L36" s="137">
        <v>42.52751188908131</v>
      </c>
      <c r="M36" s="137">
        <v>41.223028582425336</v>
      </c>
      <c r="N36" s="137">
        <v>41.571920287765153</v>
      </c>
      <c r="O36" s="137">
        <v>41.959704581692016</v>
      </c>
      <c r="P36" s="137">
        <v>42.262209339400968</v>
      </c>
      <c r="Q36" s="137">
        <v>42.505134311303621</v>
      </c>
      <c r="R36" s="75"/>
      <c r="S36" s="75"/>
      <c r="T36" s="75"/>
      <c r="U36" s="75"/>
      <c r="V36" s="75"/>
      <c r="W36" s="75"/>
    </row>
    <row r="37" spans="2:23" ht="12" customHeight="1">
      <c r="B37" s="144" t="s">
        <v>123</v>
      </c>
      <c r="C37" s="91" t="s">
        <v>123</v>
      </c>
      <c r="D37" s="136">
        <v>5.6680400610539134</v>
      </c>
      <c r="E37" s="136">
        <v>12.678488631422328</v>
      </c>
      <c r="F37" s="136">
        <v>16.52581707866057</v>
      </c>
      <c r="G37" s="136">
        <v>17.633065790066365</v>
      </c>
      <c r="H37" s="136">
        <v>21.550934612131194</v>
      </c>
      <c r="I37" s="136">
        <v>31.040182051197778</v>
      </c>
      <c r="J37" s="136">
        <v>28.797124082420595</v>
      </c>
      <c r="K37" s="136">
        <v>22.572861446528286</v>
      </c>
      <c r="L37" s="137">
        <v>23.554700043092637</v>
      </c>
      <c r="M37" s="137">
        <v>23.116747594747995</v>
      </c>
      <c r="N37" s="137">
        <v>22.330666808930268</v>
      </c>
      <c r="O37" s="137">
        <v>21.526903284306286</v>
      </c>
      <c r="P37" s="137">
        <v>20.71435988759907</v>
      </c>
      <c r="Q37" s="137">
        <v>19.90327368228969</v>
      </c>
      <c r="R37" s="75"/>
      <c r="S37" s="75"/>
      <c r="T37" s="75"/>
      <c r="U37" s="75"/>
      <c r="V37" s="75"/>
      <c r="W37" s="75"/>
    </row>
    <row r="38" spans="2:23" ht="12" customHeight="1">
      <c r="B38" s="143" t="s">
        <v>124</v>
      </c>
      <c r="C38" s="133" t="s">
        <v>124</v>
      </c>
      <c r="D38" s="136">
        <v>45.195466062310544</v>
      </c>
      <c r="E38" s="136">
        <v>47.13404929662542</v>
      </c>
      <c r="F38" s="136">
        <v>48.588207887415024</v>
      </c>
      <c r="G38" s="136">
        <v>51.676753399481356</v>
      </c>
      <c r="H38" s="136">
        <v>56.216678408846988</v>
      </c>
      <c r="I38" s="136">
        <v>68.999567385938533</v>
      </c>
      <c r="J38" s="136">
        <v>68.978426634683871</v>
      </c>
      <c r="K38" s="136">
        <v>71.015746994808651</v>
      </c>
      <c r="L38" s="137">
        <v>72.308726397347982</v>
      </c>
      <c r="M38" s="137">
        <v>74.030973351342936</v>
      </c>
      <c r="N38" s="137">
        <v>77.137522077811028</v>
      </c>
      <c r="O38" s="137">
        <v>79.97593663451795</v>
      </c>
      <c r="P38" s="137">
        <v>82.442983485868993</v>
      </c>
      <c r="Q38" s="137">
        <v>84.869931697566798</v>
      </c>
      <c r="R38" s="75"/>
      <c r="S38" s="75"/>
      <c r="T38" s="75"/>
      <c r="U38" s="75"/>
      <c r="V38" s="75"/>
      <c r="W38" s="75"/>
    </row>
    <row r="39" spans="2:23" ht="3.75" customHeight="1">
      <c r="B39" s="132"/>
      <c r="C39" s="133"/>
      <c r="D39" s="136"/>
      <c r="E39" s="136"/>
      <c r="F39" s="136"/>
      <c r="G39" s="136"/>
      <c r="H39" s="136"/>
      <c r="I39" s="140"/>
      <c r="J39" s="136"/>
      <c r="K39" s="140"/>
      <c r="L39" s="137"/>
      <c r="M39" s="137"/>
      <c r="N39" s="137"/>
      <c r="O39" s="137"/>
      <c r="P39" s="137"/>
      <c r="Q39" s="137"/>
      <c r="R39" s="75"/>
      <c r="S39" s="75"/>
      <c r="T39" s="75"/>
      <c r="U39" s="75"/>
      <c r="V39" s="75"/>
      <c r="W39" s="75"/>
    </row>
    <row r="40" spans="2:23" ht="12" customHeight="1">
      <c r="B40" s="95" t="s">
        <v>125</v>
      </c>
      <c r="C40" s="96" t="s">
        <v>125</v>
      </c>
      <c r="D40" s="130">
        <v>35.297969012536214</v>
      </c>
      <c r="E40" s="130">
        <v>38.658490154103177</v>
      </c>
      <c r="F40" s="130">
        <v>41.251280064824243</v>
      </c>
      <c r="G40" s="130">
        <v>41.67201450392583</v>
      </c>
      <c r="H40" s="130">
        <v>42.807445493468869</v>
      </c>
      <c r="I40" s="130">
        <v>48.405618155047577</v>
      </c>
      <c r="J40" s="130">
        <v>48.396484331426244</v>
      </c>
      <c r="K40" s="130">
        <v>48.218989656642535</v>
      </c>
      <c r="L40" s="131">
        <v>48.283999350283509</v>
      </c>
      <c r="M40" s="131">
        <v>46.846352480517261</v>
      </c>
      <c r="N40" s="131">
        <v>45.80954430504822</v>
      </c>
      <c r="O40" s="131">
        <v>44.944154852074526</v>
      </c>
      <c r="P40" s="131">
        <v>44.187774054103066</v>
      </c>
      <c r="Q40" s="131">
        <v>43.196578375562567</v>
      </c>
      <c r="R40" s="75"/>
      <c r="S40" s="145"/>
      <c r="T40" s="145"/>
      <c r="U40" s="145"/>
      <c r="V40" s="145"/>
      <c r="W40" s="146"/>
    </row>
    <row r="41" spans="2:23" ht="12" customHeight="1">
      <c r="B41" s="94" t="s">
        <v>126</v>
      </c>
      <c r="C41" s="147" t="s">
        <v>126</v>
      </c>
      <c r="D41" s="136">
        <v>45.831722112779183</v>
      </c>
      <c r="E41" s="136">
        <v>50.398551266669898</v>
      </c>
      <c r="F41" s="136">
        <v>53.865569167939697</v>
      </c>
      <c r="G41" s="136">
        <v>56.448928367419114</v>
      </c>
      <c r="H41" s="136">
        <v>59.08464571736117</v>
      </c>
      <c r="I41" s="136">
        <v>67.834733761454657</v>
      </c>
      <c r="J41" s="136">
        <v>66.967592072165601</v>
      </c>
      <c r="K41" s="136">
        <v>67.936192584948444</v>
      </c>
      <c r="L41" s="137">
        <v>66.64620098846558</v>
      </c>
      <c r="M41" s="137">
        <v>65.434245719534999</v>
      </c>
      <c r="N41" s="137">
        <v>64.117567021394947</v>
      </c>
      <c r="O41" s="137">
        <v>62.725612113468799</v>
      </c>
      <c r="P41" s="137">
        <v>61.099900248434679</v>
      </c>
      <c r="Q41" s="137">
        <v>59.505291458920496</v>
      </c>
      <c r="R41" s="75"/>
      <c r="S41" s="145"/>
      <c r="T41" s="145"/>
      <c r="U41" s="145"/>
      <c r="V41" s="145"/>
      <c r="W41" s="146"/>
    </row>
    <row r="42" spans="2:23" ht="12" customHeight="1">
      <c r="B42" s="144" t="s">
        <v>127</v>
      </c>
      <c r="C42" s="91" t="s">
        <v>127</v>
      </c>
      <c r="D42" s="136">
        <v>20.328343060898867</v>
      </c>
      <c r="E42" s="136">
        <v>23.410089471741198</v>
      </c>
      <c r="F42" s="136">
        <v>25.340443585947259</v>
      </c>
      <c r="G42" s="136">
        <v>27.689268889618585</v>
      </c>
      <c r="H42" s="136">
        <v>29.170478252902321</v>
      </c>
      <c r="I42" s="136">
        <v>34.485945295793528</v>
      </c>
      <c r="J42" s="136">
        <v>36.509543688215473</v>
      </c>
      <c r="K42" s="136">
        <v>38.017324744470571</v>
      </c>
      <c r="L42" s="137">
        <v>38.770795409083135</v>
      </c>
      <c r="M42" s="137">
        <v>39.041992826260767</v>
      </c>
      <c r="N42" s="137">
        <v>40.271134830005025</v>
      </c>
      <c r="O42" s="137">
        <v>41.468520593866295</v>
      </c>
      <c r="P42" s="137">
        <v>42.300131824031432</v>
      </c>
      <c r="Q42" s="137">
        <v>43.12011041738765</v>
      </c>
      <c r="R42" s="75"/>
      <c r="S42" s="145"/>
      <c r="T42" s="145"/>
      <c r="U42" s="145"/>
      <c r="V42" s="145"/>
      <c r="W42" s="146"/>
    </row>
    <row r="43" spans="2:23" ht="15.75" customHeight="1">
      <c r="B43" s="94" t="s">
        <v>128</v>
      </c>
      <c r="C43" s="147" t="s">
        <v>128</v>
      </c>
      <c r="D43" s="136">
        <v>46.115999340311511</v>
      </c>
      <c r="E43" s="136">
        <v>47.548351748725608</v>
      </c>
      <c r="F43" s="136">
        <v>46.319849371748411</v>
      </c>
      <c r="G43" s="136">
        <v>43.513706690736207</v>
      </c>
      <c r="H43" s="136">
        <v>40.800068629417417</v>
      </c>
      <c r="I43" s="136">
        <v>41.262943465843207</v>
      </c>
      <c r="J43" s="136">
        <v>39.309677998410798</v>
      </c>
      <c r="K43" s="136">
        <v>37.091308102721527</v>
      </c>
      <c r="L43" s="137">
        <v>36.297719512938329</v>
      </c>
      <c r="M43" s="137">
        <v>35.352611953956838</v>
      </c>
      <c r="N43" s="137">
        <v>34.645165915577394</v>
      </c>
      <c r="O43" s="137">
        <v>33.795650096160017</v>
      </c>
      <c r="P43" s="137">
        <v>32.943354133246416</v>
      </c>
      <c r="Q43" s="137">
        <v>31.303967639249304</v>
      </c>
      <c r="R43" s="75"/>
      <c r="S43" s="145"/>
      <c r="T43" s="145"/>
      <c r="U43" s="145"/>
      <c r="V43" s="145"/>
      <c r="W43" s="146"/>
    </row>
    <row r="44" spans="2:23" ht="12" customHeight="1">
      <c r="B44" s="148" t="s">
        <v>129</v>
      </c>
      <c r="C44" s="149" t="s">
        <v>129</v>
      </c>
      <c r="D44" s="130">
        <v>40.427215706569221</v>
      </c>
      <c r="E44" s="130">
        <v>44.850720521529766</v>
      </c>
      <c r="F44" s="130">
        <v>44.483072596073413</v>
      </c>
      <c r="G44" s="130">
        <v>44.426069152264439</v>
      </c>
      <c r="H44" s="130">
        <v>45.711662801454906</v>
      </c>
      <c r="I44" s="142">
        <v>60.351370605870763</v>
      </c>
      <c r="J44" s="130">
        <v>56.02468415991666</v>
      </c>
      <c r="K44" s="142">
        <v>49.068466516288908</v>
      </c>
      <c r="L44" s="131">
        <v>50.54224680363744</v>
      </c>
      <c r="M44" s="131">
        <v>49.871235259199153</v>
      </c>
      <c r="N44" s="131">
        <v>49.380259259219315</v>
      </c>
      <c r="O44" s="131">
        <v>48.786213924938508</v>
      </c>
      <c r="P44" s="131">
        <v>48.261363116352562</v>
      </c>
      <c r="Q44" s="131">
        <v>47.684301842558028</v>
      </c>
      <c r="R44" s="75"/>
      <c r="S44" s="75"/>
      <c r="T44" s="75"/>
      <c r="U44" s="75"/>
      <c r="V44" s="75"/>
      <c r="W44" s="75"/>
    </row>
    <row r="45" spans="2:23">
      <c r="B45" s="132"/>
      <c r="C45" s="133"/>
      <c r="D45" s="136"/>
      <c r="E45" s="136"/>
      <c r="F45" s="136"/>
      <c r="G45" s="136"/>
      <c r="H45" s="136"/>
      <c r="I45" s="140"/>
      <c r="J45" s="136"/>
      <c r="K45" s="140"/>
      <c r="L45" s="137"/>
      <c r="M45" s="137"/>
      <c r="N45" s="137"/>
      <c r="O45" s="137"/>
      <c r="P45" s="137"/>
      <c r="Q45" s="137"/>
      <c r="R45" s="75"/>
      <c r="S45" s="75"/>
      <c r="T45" s="75"/>
      <c r="U45" s="75"/>
      <c r="V45" s="75"/>
      <c r="W45" s="75"/>
    </row>
    <row r="46" spans="2:23" ht="15" customHeight="1">
      <c r="B46" s="150" t="s">
        <v>144</v>
      </c>
      <c r="C46" s="149"/>
      <c r="D46" s="136"/>
      <c r="E46" s="136"/>
      <c r="F46" s="136"/>
      <c r="G46" s="136"/>
      <c r="H46" s="136"/>
      <c r="I46" s="140"/>
      <c r="J46" s="136"/>
      <c r="K46" s="140"/>
      <c r="L46" s="137"/>
      <c r="M46" s="137"/>
      <c r="N46" s="137"/>
      <c r="O46" s="137"/>
      <c r="P46" s="137"/>
      <c r="Q46" s="137"/>
      <c r="R46" s="75"/>
      <c r="S46" s="75"/>
      <c r="T46" s="75"/>
      <c r="U46" s="75"/>
      <c r="V46" s="75"/>
      <c r="W46" s="75"/>
    </row>
    <row r="47" spans="2:23" ht="12" customHeight="1">
      <c r="B47" s="128" t="s">
        <v>138</v>
      </c>
      <c r="C47" s="149" t="s">
        <v>83</v>
      </c>
      <c r="D47" s="130">
        <v>66.226517797588329</v>
      </c>
      <c r="E47" s="130">
        <v>68.853034845822961</v>
      </c>
      <c r="F47" s="130">
        <v>66.942246675972171</v>
      </c>
      <c r="G47" s="130">
        <v>67.244132397478339</v>
      </c>
      <c r="H47" s="130">
        <v>68.232560560690459</v>
      </c>
      <c r="I47" s="142">
        <v>79.995603656446704</v>
      </c>
      <c r="J47" s="130">
        <v>77.911175998966769</v>
      </c>
      <c r="K47" s="142">
        <v>74.569953893054432</v>
      </c>
      <c r="L47" s="131">
        <v>75.284454359971761</v>
      </c>
      <c r="M47" s="131">
        <v>76.755574363929</v>
      </c>
      <c r="N47" s="131">
        <v>77.881476686632283</v>
      </c>
      <c r="O47" s="131">
        <v>78.681603177778058</v>
      </c>
      <c r="P47" s="131">
        <v>79.357731585446246</v>
      </c>
      <c r="Q47" s="131">
        <v>80.150708119706749</v>
      </c>
      <c r="R47" s="75"/>
      <c r="S47" s="75"/>
      <c r="T47" s="75"/>
      <c r="U47" s="75"/>
      <c r="V47" s="75"/>
      <c r="W47" s="75"/>
    </row>
    <row r="48" spans="2:23" ht="1.5" customHeight="1">
      <c r="B48" s="148"/>
      <c r="C48" s="151"/>
      <c r="D48" s="130" t="s">
        <v>139</v>
      </c>
      <c r="E48" s="130" t="s">
        <v>139</v>
      </c>
      <c r="F48" s="130" t="s">
        <v>139</v>
      </c>
      <c r="G48" s="130" t="s">
        <v>139</v>
      </c>
      <c r="H48" s="130" t="s">
        <v>139</v>
      </c>
      <c r="I48" s="142" t="s">
        <v>139</v>
      </c>
      <c r="J48" s="130" t="s">
        <v>139</v>
      </c>
      <c r="K48" s="142" t="s">
        <v>139</v>
      </c>
      <c r="L48" s="131" t="s">
        <v>139</v>
      </c>
      <c r="M48" s="131" t="s">
        <v>139</v>
      </c>
      <c r="N48" s="131" t="s">
        <v>139</v>
      </c>
      <c r="O48" s="131" t="s">
        <v>139</v>
      </c>
      <c r="P48" s="131" t="s">
        <v>139</v>
      </c>
      <c r="Q48" s="131" t="s">
        <v>139</v>
      </c>
      <c r="R48" s="75"/>
      <c r="S48" s="75"/>
      <c r="T48" s="75"/>
      <c r="U48" s="75"/>
      <c r="V48" s="75"/>
      <c r="W48" s="75"/>
    </row>
    <row r="49" spans="2:23" ht="12" customHeight="1" collapsed="1">
      <c r="B49" s="148" t="s">
        <v>84</v>
      </c>
      <c r="C49" s="151" t="s">
        <v>85</v>
      </c>
      <c r="D49" s="130">
        <v>74.88907450256265</v>
      </c>
      <c r="E49" s="130">
        <v>76.522505137448761</v>
      </c>
      <c r="F49" s="130">
        <v>74.072581034775027</v>
      </c>
      <c r="G49" s="130">
        <v>73.904953551650067</v>
      </c>
      <c r="H49" s="130">
        <v>74.748384453111129</v>
      </c>
      <c r="I49" s="142">
        <v>86.819903600863782</v>
      </c>
      <c r="J49" s="130">
        <v>84.576028938942784</v>
      </c>
      <c r="K49" s="142">
        <v>81.649326245576702</v>
      </c>
      <c r="L49" s="131">
        <v>82.51746263513806</v>
      </c>
      <c r="M49" s="131">
        <v>84.333365678119591</v>
      </c>
      <c r="N49" s="131">
        <v>85.69652798193556</v>
      </c>
      <c r="O49" s="131">
        <v>86.676139658335174</v>
      </c>
      <c r="P49" s="131">
        <v>87.585113729332434</v>
      </c>
      <c r="Q49" s="131">
        <v>88.675881650231972</v>
      </c>
      <c r="R49" s="75"/>
      <c r="S49" s="75"/>
      <c r="T49" s="75"/>
      <c r="U49" s="75"/>
      <c r="V49" s="75"/>
      <c r="W49" s="75"/>
    </row>
    <row r="50" spans="2:23" ht="12" hidden="1" customHeight="1" outlineLevel="1">
      <c r="B50" s="132" t="s">
        <v>86</v>
      </c>
      <c r="C50" s="133" t="s">
        <v>86</v>
      </c>
      <c r="D50" s="136">
        <v>80.697917324459453</v>
      </c>
      <c r="E50" s="136">
        <v>82.556912878997395</v>
      </c>
      <c r="F50" s="136">
        <v>80.140092977112204</v>
      </c>
      <c r="G50" s="136">
        <v>80.306066539308006</v>
      </c>
      <c r="H50" s="136">
        <v>81.40672454817711</v>
      </c>
      <c r="I50" s="140">
        <v>94.583213210921571</v>
      </c>
      <c r="J50" s="136">
        <v>92.684250867653574</v>
      </c>
      <c r="K50" s="140">
        <v>89.510256071031222</v>
      </c>
      <c r="L50" s="137">
        <v>90.788613780022672</v>
      </c>
      <c r="M50" s="137">
        <v>93.341808181361444</v>
      </c>
      <c r="N50" s="137">
        <v>95.138018413731444</v>
      </c>
      <c r="O50" s="137">
        <v>96.426638605398679</v>
      </c>
      <c r="P50" s="137">
        <v>97.65150800222699</v>
      </c>
      <c r="Q50" s="137">
        <v>99.063041337908089</v>
      </c>
      <c r="R50" s="75"/>
      <c r="S50" s="75"/>
      <c r="T50" s="75"/>
      <c r="U50" s="75"/>
      <c r="V50" s="75"/>
      <c r="W50" s="75"/>
    </row>
    <row r="51" spans="2:23" ht="12" customHeight="1">
      <c r="B51" s="132" t="s">
        <v>140</v>
      </c>
      <c r="C51" s="133" t="s">
        <v>87</v>
      </c>
      <c r="D51" s="136">
        <v>18.518057053688104</v>
      </c>
      <c r="E51" s="136">
        <v>17.98147156183428</v>
      </c>
      <c r="F51" s="136">
        <v>12.541103342410054</v>
      </c>
      <c r="G51" s="136">
        <v>11.552394690641529</v>
      </c>
      <c r="H51" s="136">
        <v>8.4732077751935009</v>
      </c>
      <c r="I51" s="136">
        <v>15.726930719864088</v>
      </c>
      <c r="J51" s="136">
        <v>15.377838380183755</v>
      </c>
      <c r="K51" s="136">
        <v>13.925760443270107</v>
      </c>
      <c r="L51" s="137">
        <v>14.058368731709612</v>
      </c>
      <c r="M51" s="137">
        <v>13.907292545936562</v>
      </c>
      <c r="N51" s="137">
        <v>13.682559380272648</v>
      </c>
      <c r="O51" s="137">
        <v>13.121511705055749</v>
      </c>
      <c r="P51" s="137">
        <v>12.522353399451468</v>
      </c>
      <c r="Q51" s="137">
        <v>12.045324808116582</v>
      </c>
      <c r="R51" s="75"/>
      <c r="S51" s="75"/>
      <c r="T51" s="75"/>
      <c r="U51" s="75"/>
      <c r="V51" s="75"/>
      <c r="W51" s="75"/>
    </row>
    <row r="52" spans="2:23" ht="12" customHeight="1">
      <c r="B52" s="132" t="s">
        <v>88</v>
      </c>
      <c r="C52" s="133" t="s">
        <v>88</v>
      </c>
      <c r="D52" s="136">
        <v>75.108446450055439</v>
      </c>
      <c r="E52" s="136">
        <v>74.625753069903595</v>
      </c>
      <c r="F52" s="136">
        <v>72.367685327864862</v>
      </c>
      <c r="G52" s="136">
        <v>70.618767009158816</v>
      </c>
      <c r="H52" s="136">
        <v>68.995178100923582</v>
      </c>
      <c r="I52" s="136">
        <v>78.981838783471574</v>
      </c>
      <c r="J52" s="136">
        <v>77.769799250743489</v>
      </c>
      <c r="K52" s="136">
        <v>74.829482853890937</v>
      </c>
      <c r="L52" s="137">
        <v>74.508484729874283</v>
      </c>
      <c r="M52" s="137">
        <v>74.283266035583623</v>
      </c>
      <c r="N52" s="137">
        <v>73.706906211356866</v>
      </c>
      <c r="O52" s="137">
        <v>73.173468307969785</v>
      </c>
      <c r="P52" s="137">
        <v>72.820022310346474</v>
      </c>
      <c r="Q52" s="137">
        <v>72.404888605021725</v>
      </c>
      <c r="R52" s="75"/>
      <c r="S52" s="75"/>
      <c r="T52" s="75"/>
      <c r="U52" s="75"/>
      <c r="V52" s="75"/>
      <c r="W52" s="75"/>
    </row>
    <row r="53" spans="2:23" ht="12" customHeight="1">
      <c r="B53" s="139" t="s">
        <v>90</v>
      </c>
      <c r="C53" s="133" t="s">
        <v>90</v>
      </c>
      <c r="D53" s="136">
        <v>86.347906144015369</v>
      </c>
      <c r="E53" s="136">
        <v>89.184644217052821</v>
      </c>
      <c r="F53" s="136">
        <v>89.376739585990506</v>
      </c>
      <c r="G53" s="136">
        <v>89.239395998656121</v>
      </c>
      <c r="H53" s="136">
        <v>88.881231193349279</v>
      </c>
      <c r="I53" s="136">
        <v>101.74860387926294</v>
      </c>
      <c r="J53" s="136">
        <v>100.55934333884393</v>
      </c>
      <c r="K53" s="136">
        <v>99.045189496778775</v>
      </c>
      <c r="L53" s="137">
        <v>99.417528171928566</v>
      </c>
      <c r="M53" s="137">
        <v>100.39094794921787</v>
      </c>
      <c r="N53" s="137">
        <v>100.76223500979818</v>
      </c>
      <c r="O53" s="137">
        <v>101.32817153647393</v>
      </c>
      <c r="P53" s="137">
        <v>102.15659304695936</v>
      </c>
      <c r="Q53" s="137">
        <v>102.97397662780148</v>
      </c>
      <c r="R53" s="75"/>
      <c r="S53" s="75"/>
      <c r="T53" s="75"/>
      <c r="U53" s="75"/>
      <c r="V53" s="75"/>
      <c r="W53" s="75"/>
    </row>
    <row r="54" spans="2:23" ht="12" customHeight="1">
      <c r="B54" s="139" t="s">
        <v>91</v>
      </c>
      <c r="C54" s="133" t="s">
        <v>91</v>
      </c>
      <c r="D54" s="136">
        <v>52.170492171648739</v>
      </c>
      <c r="E54" s="136">
        <v>49.30871459833989</v>
      </c>
      <c r="F54" s="136">
        <v>44.950997196341774</v>
      </c>
      <c r="G54" s="136">
        <v>42.220238006804436</v>
      </c>
      <c r="H54" s="136">
        <v>40.054933981331658</v>
      </c>
      <c r="I54" s="136">
        <v>45.37617863236067</v>
      </c>
      <c r="J54" s="136">
        <v>45.579676546123409</v>
      </c>
      <c r="K54" s="136">
        <v>45.072885015709652</v>
      </c>
      <c r="L54" s="137">
        <v>46.691418711307307</v>
      </c>
      <c r="M54" s="137">
        <v>46.79312457198774</v>
      </c>
      <c r="N54" s="137">
        <v>45.587110731254931</v>
      </c>
      <c r="O54" s="137">
        <v>44.312431443725075</v>
      </c>
      <c r="P54" s="137">
        <v>43.472373058777649</v>
      </c>
      <c r="Q54" s="137">
        <v>42.670188559031267</v>
      </c>
      <c r="R54" s="75"/>
      <c r="S54" s="75"/>
      <c r="T54" s="75"/>
      <c r="U54" s="75"/>
      <c r="V54" s="75"/>
      <c r="W54" s="75"/>
    </row>
    <row r="55" spans="2:23" ht="12" customHeight="1">
      <c r="B55" s="139" t="s">
        <v>92</v>
      </c>
      <c r="C55" s="133" t="s">
        <v>92</v>
      </c>
      <c r="D55" s="136">
        <v>122.23764690957528</v>
      </c>
      <c r="E55" s="136">
        <v>121.6040693789963</v>
      </c>
      <c r="F55" s="136">
        <v>121.29134460406095</v>
      </c>
      <c r="G55" s="136">
        <v>121.82465644231002</v>
      </c>
      <c r="H55" s="136">
        <v>121.6944554525984</v>
      </c>
      <c r="I55" s="136">
        <v>141.43279430711252</v>
      </c>
      <c r="J55" s="136">
        <v>137.30541776026527</v>
      </c>
      <c r="K55" s="136">
        <v>132.98787472769337</v>
      </c>
      <c r="L55" s="137">
        <v>129.33788956084106</v>
      </c>
      <c r="M55" s="137">
        <v>129.41000600134106</v>
      </c>
      <c r="N55" s="137">
        <v>128.21022252518716</v>
      </c>
      <c r="O55" s="137">
        <v>126.92086120932258</v>
      </c>
      <c r="P55" s="137">
        <v>125.12226065482648</v>
      </c>
      <c r="Q55" s="137">
        <v>122.55135812738909</v>
      </c>
      <c r="R55" s="75"/>
      <c r="S55" s="75"/>
      <c r="T55" s="75"/>
      <c r="U55" s="75"/>
      <c r="V55" s="75"/>
      <c r="W55" s="75"/>
    </row>
    <row r="56" spans="2:23" ht="12" customHeight="1">
      <c r="B56" s="139" t="s">
        <v>94</v>
      </c>
      <c r="C56" s="133" t="s">
        <v>94</v>
      </c>
      <c r="D56" s="136">
        <v>86.021566619546391</v>
      </c>
      <c r="E56" s="136">
        <v>87.127669729545403</v>
      </c>
      <c r="F56" s="136">
        <v>86.185011681800816</v>
      </c>
      <c r="G56" s="136">
        <v>84.908515781333193</v>
      </c>
      <c r="H56" s="136">
        <v>83.713728800903723</v>
      </c>
      <c r="I56" s="136">
        <v>103.00035018233633</v>
      </c>
      <c r="J56" s="136">
        <v>102.28999189620514</v>
      </c>
      <c r="K56" s="136">
        <v>97.360168780382892</v>
      </c>
      <c r="L56" s="137">
        <v>96.625317168319825</v>
      </c>
      <c r="M56" s="137">
        <v>95.206779272890145</v>
      </c>
      <c r="N56" s="137">
        <v>95.307289921713092</v>
      </c>
      <c r="O56" s="137">
        <v>96.069745995501492</v>
      </c>
      <c r="P56" s="137">
        <v>96.949650666044306</v>
      </c>
      <c r="Q56" s="137">
        <v>97.905926882359736</v>
      </c>
      <c r="R56" s="75"/>
      <c r="S56" s="75"/>
      <c r="T56" s="75"/>
      <c r="U56" s="75"/>
      <c r="V56" s="75"/>
      <c r="W56" s="75"/>
    </row>
    <row r="57" spans="2:23" ht="12" customHeight="1">
      <c r="B57" s="132" t="s">
        <v>96</v>
      </c>
      <c r="C57" s="133" t="s">
        <v>96</v>
      </c>
      <c r="D57" s="136">
        <v>144.45113342616543</v>
      </c>
      <c r="E57" s="136">
        <v>149.50180448912366</v>
      </c>
      <c r="F57" s="136">
        <v>148.06665666195963</v>
      </c>
      <c r="G57" s="136">
        <v>151.14676694630779</v>
      </c>
      <c r="H57" s="136">
        <v>151.7459149839159</v>
      </c>
      <c r="I57" s="136">
        <v>162.33644429868235</v>
      </c>
      <c r="J57" s="136">
        <v>156.89524523403045</v>
      </c>
      <c r="K57" s="136">
        <v>162.6517462207209</v>
      </c>
      <c r="L57" s="137">
        <v>161.00625237068166</v>
      </c>
      <c r="M57" s="137">
        <v>159.2972728149422</v>
      </c>
      <c r="N57" s="137">
        <v>159.16559125124573</v>
      </c>
      <c r="O57" s="137">
        <v>159.41953501825009</v>
      </c>
      <c r="P57" s="137">
        <v>160.1682788879036</v>
      </c>
      <c r="Q57" s="137">
        <v>161.28033756524769</v>
      </c>
      <c r="R57" s="75"/>
      <c r="S57" s="75"/>
      <c r="T57" s="75"/>
      <c r="U57" s="75"/>
      <c r="V57" s="75"/>
      <c r="W57" s="75"/>
    </row>
    <row r="58" spans="2:23" ht="12" customHeight="1">
      <c r="B58" s="132" t="s">
        <v>97</v>
      </c>
      <c r="C58" s="133" t="s">
        <v>97</v>
      </c>
      <c r="D58" s="136">
        <v>78.157239101758563</v>
      </c>
      <c r="E58" s="136">
        <v>77.6053146322934</v>
      </c>
      <c r="F58" s="136">
        <v>76.15471979004397</v>
      </c>
      <c r="G58" s="136">
        <v>75.396470768189644</v>
      </c>
      <c r="H58" s="136">
        <v>74.617843159330008</v>
      </c>
      <c r="I58" s="136">
        <v>94.50351563381389</v>
      </c>
      <c r="J58" s="136">
        <v>96.735320151450537</v>
      </c>
      <c r="K58" s="136">
        <v>91.859093837412431</v>
      </c>
      <c r="L58" s="137">
        <v>95.097090815730439</v>
      </c>
      <c r="M58" s="137">
        <v>98.203954568483269</v>
      </c>
      <c r="N58" s="137">
        <v>100.9619828513666</v>
      </c>
      <c r="O58" s="137">
        <v>100.87193877751766</v>
      </c>
      <c r="P58" s="137">
        <v>101.16069857265511</v>
      </c>
      <c r="Q58" s="137">
        <v>101.23385292375301</v>
      </c>
      <c r="R58" s="75"/>
      <c r="S58" s="75"/>
      <c r="T58" s="75"/>
      <c r="U58" s="75"/>
      <c r="V58" s="75"/>
      <c r="W58" s="75"/>
    </row>
    <row r="59" spans="2:23" ht="12" customHeight="1">
      <c r="B59" s="132" t="s">
        <v>98</v>
      </c>
      <c r="C59" s="133" t="s">
        <v>99</v>
      </c>
      <c r="D59" s="136">
        <v>80.874578607905903</v>
      </c>
      <c r="E59" s="136">
        <v>81.848949724794196</v>
      </c>
      <c r="F59" s="136">
        <v>80.418722259444948</v>
      </c>
      <c r="G59" s="136">
        <v>81.131243128464675</v>
      </c>
      <c r="H59" s="136">
        <v>83.055107467161193</v>
      </c>
      <c r="I59" s="136">
        <v>98.331768789365853</v>
      </c>
      <c r="J59" s="136">
        <v>98.328137481865269</v>
      </c>
      <c r="K59" s="136">
        <v>94.163820203390785</v>
      </c>
      <c r="L59" s="137">
        <v>95.462424168266097</v>
      </c>
      <c r="M59" s="137">
        <v>99.84251999770666</v>
      </c>
      <c r="N59" s="137">
        <v>103.05825771279204</v>
      </c>
      <c r="O59" s="137">
        <v>105.69646094722313</v>
      </c>
      <c r="P59" s="137">
        <v>108.03265349986842</v>
      </c>
      <c r="Q59" s="137">
        <v>110.48891890918904</v>
      </c>
      <c r="R59" s="75"/>
      <c r="S59" s="75"/>
      <c r="T59" s="75"/>
      <c r="U59" s="75"/>
      <c r="V59" s="75"/>
      <c r="W59" s="75"/>
    </row>
    <row r="60" spans="2:23" ht="5.25" customHeight="1">
      <c r="B60" s="132"/>
      <c r="C60" s="133"/>
      <c r="D60" s="136"/>
      <c r="E60" s="136"/>
      <c r="F60" s="136"/>
      <c r="G60" s="136"/>
      <c r="H60" s="136"/>
      <c r="I60" s="140"/>
      <c r="J60" s="136"/>
      <c r="K60" s="140"/>
      <c r="L60" s="137"/>
      <c r="M60" s="137"/>
      <c r="N60" s="137"/>
      <c r="O60" s="137"/>
      <c r="P60" s="137"/>
      <c r="Q60" s="137" t="s">
        <v>139</v>
      </c>
      <c r="R60" s="75"/>
      <c r="S60" s="75"/>
      <c r="T60" s="75"/>
      <c r="U60" s="75"/>
      <c r="V60" s="75"/>
      <c r="W60" s="75"/>
    </row>
    <row r="61" spans="2:23" ht="12" hidden="1" customHeight="1">
      <c r="B61" s="76" t="s">
        <v>125</v>
      </c>
      <c r="C61" s="96" t="s">
        <v>125</v>
      </c>
      <c r="D61" s="130" t="s">
        <v>145</v>
      </c>
      <c r="E61" s="130" t="s">
        <v>145</v>
      </c>
      <c r="F61" s="130" t="s">
        <v>145</v>
      </c>
      <c r="G61" s="130" t="s">
        <v>145</v>
      </c>
      <c r="H61" s="130" t="s">
        <v>145</v>
      </c>
      <c r="I61" s="130" t="s">
        <v>145</v>
      </c>
      <c r="J61" s="130" t="s">
        <v>145</v>
      </c>
      <c r="K61" s="130" t="s">
        <v>145</v>
      </c>
      <c r="L61" s="130" t="s">
        <v>145</v>
      </c>
      <c r="M61" s="130" t="s">
        <v>145</v>
      </c>
      <c r="N61" s="130" t="s">
        <v>145</v>
      </c>
      <c r="O61" s="130" t="s">
        <v>145</v>
      </c>
      <c r="P61" s="130"/>
      <c r="Q61" s="130" t="s">
        <v>145</v>
      </c>
      <c r="R61" s="75"/>
      <c r="S61" s="75"/>
      <c r="T61" s="75"/>
      <c r="U61" s="75"/>
      <c r="V61" s="75"/>
      <c r="W61" s="75"/>
    </row>
    <row r="62" spans="2:23" ht="21" hidden="1" customHeight="1">
      <c r="B62" s="135"/>
      <c r="C62" s="135"/>
      <c r="D62" s="136"/>
      <c r="E62" s="136"/>
      <c r="F62" s="136"/>
      <c r="G62" s="136"/>
      <c r="H62" s="136"/>
      <c r="I62" s="136"/>
      <c r="J62" s="136"/>
      <c r="K62" s="136"/>
      <c r="L62" s="136"/>
      <c r="M62" s="136"/>
      <c r="N62" s="136"/>
      <c r="O62" s="136"/>
      <c r="P62" s="136"/>
      <c r="Q62" s="118"/>
      <c r="R62" s="75"/>
    </row>
    <row r="63" spans="2:23" ht="4.5" customHeight="1">
      <c r="B63" s="152"/>
      <c r="C63" s="152"/>
      <c r="D63" s="153"/>
      <c r="E63" s="153"/>
      <c r="F63" s="153"/>
      <c r="G63" s="153"/>
      <c r="H63" s="153"/>
      <c r="I63" s="153"/>
      <c r="J63" s="153"/>
      <c r="K63" s="153"/>
      <c r="L63" s="153"/>
      <c r="M63" s="153"/>
      <c r="N63" s="153"/>
      <c r="O63" s="153"/>
      <c r="P63" s="153"/>
      <c r="Q63" s="154"/>
      <c r="R63" s="75"/>
    </row>
    <row r="64" spans="2:23" ht="13.5" customHeight="1">
      <c r="B64" s="590" t="s">
        <v>132</v>
      </c>
      <c r="C64" s="590"/>
      <c r="D64" s="590"/>
      <c r="E64" s="590"/>
      <c r="F64" s="590"/>
      <c r="G64" s="590"/>
      <c r="H64" s="590"/>
      <c r="I64" s="590"/>
      <c r="J64" s="590"/>
      <c r="K64" s="590"/>
      <c r="L64" s="590"/>
      <c r="M64" s="590"/>
      <c r="N64" s="590"/>
      <c r="O64" s="590"/>
      <c r="P64" s="590"/>
      <c r="Q64" s="590"/>
    </row>
    <row r="65" spans="1:18" s="57" customFormat="1" ht="45.75" customHeight="1">
      <c r="A65" s="55"/>
      <c r="B65" s="591" t="s">
        <v>146</v>
      </c>
      <c r="C65" s="591"/>
      <c r="D65" s="591"/>
      <c r="E65" s="591"/>
      <c r="F65" s="591"/>
      <c r="G65" s="591"/>
      <c r="H65" s="591"/>
      <c r="I65" s="591"/>
      <c r="J65" s="591"/>
      <c r="K65" s="591"/>
      <c r="L65" s="591"/>
      <c r="M65" s="591"/>
      <c r="N65" s="591"/>
      <c r="O65" s="591"/>
      <c r="P65" s="591"/>
      <c r="Q65" s="591"/>
    </row>
    <row r="66" spans="1:18" s="57" customFormat="1" ht="36" customHeight="1">
      <c r="A66" s="55"/>
      <c r="B66" s="581" t="s">
        <v>147</v>
      </c>
      <c r="C66" s="581"/>
      <c r="D66" s="581"/>
      <c r="E66" s="581"/>
      <c r="F66" s="581"/>
      <c r="G66" s="581"/>
      <c r="H66" s="581"/>
      <c r="I66" s="581"/>
      <c r="J66" s="581"/>
      <c r="K66" s="581"/>
      <c r="L66" s="581"/>
      <c r="M66" s="581"/>
      <c r="N66" s="581"/>
      <c r="O66" s="581"/>
      <c r="P66" s="581"/>
      <c r="Q66" s="581"/>
    </row>
    <row r="67" spans="1:18" s="57" customFormat="1" ht="31.5" customHeight="1">
      <c r="A67" s="55"/>
      <c r="B67" s="591" t="s">
        <v>148</v>
      </c>
      <c r="C67" s="591"/>
      <c r="D67" s="591"/>
      <c r="E67" s="591"/>
      <c r="F67" s="591"/>
      <c r="G67" s="591"/>
      <c r="H67" s="591"/>
      <c r="I67" s="591"/>
      <c r="J67" s="591"/>
      <c r="K67" s="591"/>
      <c r="L67" s="591"/>
      <c r="M67" s="591"/>
      <c r="N67" s="591"/>
      <c r="O67" s="591"/>
      <c r="P67" s="591"/>
      <c r="Q67" s="591"/>
    </row>
    <row r="68" spans="1:18" ht="26.25" customHeight="1">
      <c r="B68" s="582" t="s">
        <v>136</v>
      </c>
      <c r="C68" s="582"/>
      <c r="D68" s="582"/>
      <c r="E68" s="582"/>
      <c r="F68" s="582"/>
      <c r="G68" s="582"/>
      <c r="H68" s="582"/>
      <c r="I68" s="582"/>
      <c r="J68" s="582"/>
      <c r="K68" s="582"/>
      <c r="L68" s="582"/>
      <c r="M68" s="582"/>
      <c r="N68" s="582"/>
      <c r="O68" s="582"/>
      <c r="P68" s="582"/>
      <c r="Q68" s="582"/>
      <c r="R68" s="582"/>
    </row>
    <row r="69" spans="1:18" ht="24" customHeight="1">
      <c r="B69" s="588" t="s">
        <v>149</v>
      </c>
      <c r="C69" s="588"/>
      <c r="D69" s="588"/>
      <c r="E69" s="588"/>
      <c r="F69" s="588"/>
      <c r="G69" s="588"/>
      <c r="H69" s="588"/>
      <c r="I69" s="588"/>
      <c r="J69" s="588"/>
      <c r="K69" s="588"/>
      <c r="L69" s="588"/>
      <c r="M69" s="588"/>
      <c r="N69" s="588"/>
      <c r="O69" s="588"/>
      <c r="P69" s="588"/>
      <c r="Q69" s="588"/>
    </row>
  </sheetData>
  <mergeCells count="7">
    <mergeCell ref="B69:Q69"/>
    <mergeCell ref="L5:Q5"/>
    <mergeCell ref="B64:Q64"/>
    <mergeCell ref="B65:Q65"/>
    <mergeCell ref="B66:Q66"/>
    <mergeCell ref="B67:Q67"/>
    <mergeCell ref="B68:R68"/>
  </mergeCells>
  <hyperlinks>
    <hyperlink ref="B68:R68" r:id="rId1" location=":~:text=Following%20an%20impressive%20recovery%20from,and%20global%20demand%20has%20slowed." display="3 China’s deficit and public debt numbers presented in this table cover a narrower perimeter of the general government than IMF staff’s estimates in China Article IV reports (see IMF 2023 for a reconciliation of the two estimates). " xr:uid="{F0AF1C33-C8BA-452C-AF7D-F7A08A8DE126}"/>
  </hyperlinks>
  <printOptions horizontalCentered="1"/>
  <pageMargins left="0.75" right="0.75" top="1" bottom="1" header="0.5" footer="0.5"/>
  <pageSetup scale="39"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A4CC-13C8-4F17-A8F7-E9327A291582}">
  <dimension ref="A1:AB223"/>
  <sheetViews>
    <sheetView zoomScaleNormal="100" workbookViewId="0">
      <selection activeCell="B88" sqref="B88:K88"/>
    </sheetView>
  </sheetViews>
  <sheetFormatPr defaultRowHeight="12.75"/>
  <cols>
    <col min="9" max="9" width="16.28515625" customWidth="1"/>
  </cols>
  <sheetData>
    <row r="1" spans="1:28" ht="13.15" customHeight="1">
      <c r="A1" s="165"/>
      <c r="B1" s="252" t="s">
        <v>43</v>
      </c>
      <c r="C1" s="165"/>
      <c r="D1" s="165"/>
      <c r="E1" s="165"/>
      <c r="F1" s="165"/>
      <c r="G1" s="165"/>
      <c r="H1" s="165"/>
      <c r="I1" s="165"/>
      <c r="J1" s="326" t="s">
        <v>234</v>
      </c>
      <c r="K1" s="326" t="s">
        <v>245</v>
      </c>
      <c r="L1" s="326" t="s">
        <v>873</v>
      </c>
      <c r="M1" s="327" t="s">
        <v>874</v>
      </c>
      <c r="N1" s="326" t="s">
        <v>875</v>
      </c>
      <c r="O1" s="326" t="s">
        <v>876</v>
      </c>
      <c r="P1" s="327" t="s">
        <v>877</v>
      </c>
      <c r="Q1" s="326" t="s">
        <v>878</v>
      </c>
      <c r="R1" s="327" t="s">
        <v>879</v>
      </c>
      <c r="S1" s="268"/>
      <c r="T1" s="268"/>
      <c r="U1" s="268"/>
      <c r="V1" s="268"/>
      <c r="W1" s="268"/>
      <c r="X1" s="268"/>
      <c r="Y1" s="268"/>
      <c r="Z1" s="268"/>
      <c r="AA1" s="268"/>
      <c r="AB1" s="268"/>
    </row>
    <row r="2" spans="1:28">
      <c r="A2" s="165"/>
      <c r="B2" s="253" t="s">
        <v>81</v>
      </c>
      <c r="C2" s="165"/>
      <c r="D2" s="165"/>
      <c r="E2" s="165"/>
      <c r="F2" s="165"/>
      <c r="G2" s="165"/>
      <c r="H2" s="165"/>
      <c r="I2" s="165"/>
      <c r="J2" s="268" t="s">
        <v>99</v>
      </c>
      <c r="K2" s="268">
        <v>1800</v>
      </c>
      <c r="L2" s="268"/>
      <c r="M2" s="269">
        <v>2.3636200000000001</v>
      </c>
      <c r="N2" s="302">
        <v>2.3498899999999998</v>
      </c>
      <c r="O2" s="302">
        <v>0.73529398000000001</v>
      </c>
      <c r="P2" s="269">
        <v>1.6145959999999999</v>
      </c>
      <c r="Q2" s="302">
        <v>0.74902402999999995</v>
      </c>
      <c r="R2" s="269">
        <v>18.091100999999998</v>
      </c>
      <c r="S2" s="268"/>
      <c r="T2" s="268"/>
      <c r="U2" s="268"/>
      <c r="V2" s="268"/>
      <c r="W2" s="268"/>
      <c r="X2" s="268"/>
      <c r="Y2" s="268"/>
      <c r="Z2" s="268"/>
      <c r="AA2" s="268"/>
      <c r="AB2" s="268"/>
    </row>
    <row r="3" spans="1:28">
      <c r="A3" s="165"/>
      <c r="B3" s="165"/>
      <c r="C3" s="165"/>
      <c r="D3" s="165"/>
      <c r="E3" s="165"/>
      <c r="F3" s="165"/>
      <c r="G3" s="165"/>
      <c r="H3" s="165"/>
      <c r="I3" s="165"/>
      <c r="J3" s="268" t="s">
        <v>99</v>
      </c>
      <c r="K3" s="268">
        <v>1801</v>
      </c>
      <c r="L3" s="268"/>
      <c r="M3" s="269">
        <v>2.4498099999999998</v>
      </c>
      <c r="N3" s="302">
        <v>1.7793600999999999</v>
      </c>
      <c r="O3" s="302">
        <v>0.83579599999999998</v>
      </c>
      <c r="P3" s="269">
        <v>0.94356406000000004</v>
      </c>
      <c r="Q3" s="302">
        <v>1.506246</v>
      </c>
      <c r="R3" s="269">
        <v>15.2865</v>
      </c>
      <c r="S3" s="268"/>
      <c r="T3" s="268"/>
      <c r="U3" s="268"/>
      <c r="V3" s="268"/>
      <c r="W3" s="268"/>
      <c r="X3" s="268"/>
      <c r="Y3" s="268"/>
      <c r="Z3" s="268"/>
      <c r="AA3" s="268"/>
      <c r="AB3" s="268"/>
    </row>
    <row r="4" spans="1:28">
      <c r="A4" s="165"/>
      <c r="B4" s="165"/>
      <c r="C4" s="165"/>
      <c r="D4" s="165"/>
      <c r="E4" s="165"/>
      <c r="F4" s="165"/>
      <c r="G4" s="165"/>
      <c r="H4" s="165"/>
      <c r="I4" s="165"/>
      <c r="J4" s="268" t="s">
        <v>99</v>
      </c>
      <c r="K4" s="268">
        <v>1802</v>
      </c>
      <c r="L4" s="268"/>
      <c r="M4" s="269">
        <v>3.0604100000000001</v>
      </c>
      <c r="N4" s="302">
        <v>1.60449</v>
      </c>
      <c r="O4" s="302">
        <v>0.84183699000000001</v>
      </c>
      <c r="P4" s="269">
        <v>0.76265305000000005</v>
      </c>
      <c r="Q4" s="302">
        <v>2.2977569999999998</v>
      </c>
      <c r="R4" s="269">
        <v>15.7255</v>
      </c>
      <c r="S4" s="268"/>
      <c r="T4" s="268"/>
      <c r="U4" s="268"/>
      <c r="V4" s="268"/>
      <c r="W4" s="268"/>
      <c r="X4" s="268"/>
      <c r="Y4" s="268"/>
      <c r="Z4" s="268"/>
      <c r="AA4" s="268"/>
      <c r="AB4" s="268"/>
    </row>
    <row r="5" spans="1:28">
      <c r="A5" s="165"/>
      <c r="B5" s="165"/>
      <c r="C5" s="165"/>
      <c r="D5" s="165"/>
      <c r="E5" s="165"/>
      <c r="F5" s="165"/>
      <c r="G5" s="165"/>
      <c r="H5" s="165"/>
      <c r="I5" s="165"/>
      <c r="J5" s="268" t="s">
        <v>99</v>
      </c>
      <c r="K5" s="268">
        <v>1803</v>
      </c>
      <c r="L5" s="268"/>
      <c r="M5" s="269">
        <v>2.2672099999999999</v>
      </c>
      <c r="N5" s="302">
        <v>1.6090199999999999</v>
      </c>
      <c r="O5" s="302">
        <v>0.78872900999999995</v>
      </c>
      <c r="P5" s="269">
        <v>0.82029098</v>
      </c>
      <c r="Q5" s="302">
        <v>1.4469190000000001</v>
      </c>
      <c r="R5" s="269">
        <v>17.7104</v>
      </c>
      <c r="S5" s="268"/>
      <c r="T5" s="268"/>
      <c r="U5" s="268"/>
      <c r="V5" s="268"/>
      <c r="W5" s="268"/>
      <c r="X5" s="268"/>
      <c r="Y5" s="268"/>
      <c r="Z5" s="268"/>
      <c r="AA5" s="268"/>
      <c r="AB5" s="268"/>
    </row>
    <row r="6" spans="1:28">
      <c r="A6" s="165"/>
      <c r="B6" s="165"/>
      <c r="C6" s="165"/>
      <c r="D6" s="165"/>
      <c r="E6" s="165"/>
      <c r="F6" s="165"/>
      <c r="G6" s="165"/>
      <c r="H6" s="165"/>
      <c r="I6" s="165"/>
      <c r="J6" s="268" t="s">
        <v>99</v>
      </c>
      <c r="K6" s="268">
        <v>1804</v>
      </c>
      <c r="L6" s="268"/>
      <c r="M6" s="269">
        <v>2.2146100999999998</v>
      </c>
      <c r="N6" s="302">
        <v>1.6327699</v>
      </c>
      <c r="O6" s="302">
        <v>0.79906398000000001</v>
      </c>
      <c r="P6" s="269">
        <v>0.83370595999999997</v>
      </c>
      <c r="Q6" s="302">
        <v>1.3809041</v>
      </c>
      <c r="R6" s="269">
        <v>15.414199999999999</v>
      </c>
      <c r="S6" s="268"/>
      <c r="T6" s="268"/>
      <c r="U6" s="268"/>
      <c r="V6" s="268"/>
      <c r="W6" s="268"/>
      <c r="X6" s="268"/>
      <c r="Y6" s="268"/>
      <c r="Z6" s="268"/>
      <c r="AA6" s="268"/>
      <c r="AB6" s="268"/>
    </row>
    <row r="7" spans="1:28">
      <c r="A7" s="165"/>
      <c r="B7" s="165"/>
      <c r="C7" s="165"/>
      <c r="D7" s="165"/>
      <c r="E7" s="165"/>
      <c r="F7" s="165"/>
      <c r="G7" s="165"/>
      <c r="H7" s="165"/>
      <c r="I7" s="165"/>
      <c r="J7" s="268" t="s">
        <v>99</v>
      </c>
      <c r="K7" s="268">
        <v>1805</v>
      </c>
      <c r="L7" s="268"/>
      <c r="M7" s="269">
        <v>2.2907099999999998</v>
      </c>
      <c r="N7" s="302">
        <v>1.7746599999999999</v>
      </c>
      <c r="O7" s="302">
        <v>0.70084500000000005</v>
      </c>
      <c r="P7" s="269">
        <v>1.073815</v>
      </c>
      <c r="Q7" s="302">
        <v>1.2168950000000001</v>
      </c>
      <c r="R7" s="269">
        <v>12.791</v>
      </c>
      <c r="S7" s="268"/>
      <c r="T7" s="268"/>
      <c r="U7" s="268"/>
      <c r="V7" s="268"/>
      <c r="W7" s="268"/>
      <c r="X7" s="268"/>
      <c r="Y7" s="268"/>
      <c r="Z7" s="268"/>
      <c r="AA7" s="268"/>
      <c r="AB7" s="268"/>
    </row>
    <row r="8" spans="1:28">
      <c r="A8" s="165"/>
      <c r="B8" s="165"/>
      <c r="C8" s="165"/>
      <c r="D8" s="165"/>
      <c r="E8" s="165"/>
      <c r="F8" s="165"/>
      <c r="G8" s="165"/>
      <c r="H8" s="165"/>
      <c r="I8" s="165"/>
      <c r="J8" s="268" t="s">
        <v>99</v>
      </c>
      <c r="K8" s="268">
        <v>1806</v>
      </c>
      <c r="L8" s="268"/>
      <c r="M8" s="269">
        <v>2.5550101000000001</v>
      </c>
      <c r="N8" s="302">
        <v>1.60985</v>
      </c>
      <c r="O8" s="302">
        <v>0.61132997</v>
      </c>
      <c r="P8" s="269">
        <v>0.99852008000000003</v>
      </c>
      <c r="Q8" s="302">
        <v>1.5564899999999999</v>
      </c>
      <c r="R8" s="269">
        <v>11.3659</v>
      </c>
      <c r="S8" s="268"/>
      <c r="T8" s="268"/>
      <c r="U8" s="268"/>
      <c r="V8" s="268"/>
      <c r="W8" s="268"/>
      <c r="X8" s="268"/>
      <c r="Y8" s="268"/>
      <c r="Z8" s="268"/>
      <c r="AA8" s="268"/>
      <c r="AB8" s="268"/>
    </row>
    <row r="9" spans="1:28">
      <c r="A9" s="165"/>
      <c r="B9" s="165"/>
      <c r="C9" s="165"/>
      <c r="D9" s="165"/>
      <c r="E9" s="165"/>
      <c r="F9" s="165"/>
      <c r="G9" s="165"/>
      <c r="H9" s="165"/>
      <c r="I9" s="165"/>
      <c r="J9" s="268" t="s">
        <v>99</v>
      </c>
      <c r="K9" s="268">
        <v>1807</v>
      </c>
      <c r="L9" s="268"/>
      <c r="M9" s="269">
        <v>2.9074499999999999</v>
      </c>
      <c r="N9" s="302">
        <v>1.4812099999999999</v>
      </c>
      <c r="O9" s="302">
        <v>0.59751803000000003</v>
      </c>
      <c r="P9" s="269">
        <v>0.88369196999999999</v>
      </c>
      <c r="Q9" s="302">
        <v>2.0237579999999999</v>
      </c>
      <c r="R9" s="269">
        <v>11.5596</v>
      </c>
      <c r="S9" s="268"/>
      <c r="T9" s="268"/>
      <c r="U9" s="268"/>
      <c r="V9" s="268"/>
      <c r="W9" s="268"/>
      <c r="X9" s="268"/>
      <c r="Y9" s="268"/>
      <c r="Z9" s="268"/>
      <c r="AA9" s="268"/>
      <c r="AB9" s="268"/>
    </row>
    <row r="10" spans="1:28">
      <c r="A10" s="165"/>
      <c r="B10" s="165"/>
      <c r="C10" s="165"/>
      <c r="D10" s="165"/>
      <c r="E10" s="165"/>
      <c r="F10" s="165"/>
      <c r="G10" s="165"/>
      <c r="H10" s="165"/>
      <c r="I10" s="165"/>
      <c r="J10" s="268" t="s">
        <v>99</v>
      </c>
      <c r="K10" s="268">
        <v>1808</v>
      </c>
      <c r="L10" s="268"/>
      <c r="M10" s="269">
        <v>3.7008700000000001</v>
      </c>
      <c r="N10" s="302">
        <v>2.1544498999999999</v>
      </c>
      <c r="O10" s="302">
        <v>0.74360101999999995</v>
      </c>
      <c r="P10" s="269">
        <v>1.4108489</v>
      </c>
      <c r="Q10" s="302">
        <v>2.2900211000000001</v>
      </c>
      <c r="R10" s="269">
        <v>12.369400000000001</v>
      </c>
      <c r="S10" s="268"/>
      <c r="T10" s="268"/>
      <c r="U10" s="268"/>
      <c r="V10" s="268"/>
      <c r="W10" s="268"/>
      <c r="X10" s="268"/>
      <c r="Y10" s="268"/>
      <c r="Z10" s="268"/>
      <c r="AA10" s="268"/>
      <c r="AB10" s="268"/>
    </row>
    <row r="11" spans="1:28">
      <c r="A11" s="165"/>
      <c r="B11" s="165"/>
      <c r="C11" s="165"/>
      <c r="D11" s="165"/>
      <c r="E11" s="165"/>
      <c r="F11" s="165"/>
      <c r="G11" s="165"/>
      <c r="H11" s="165"/>
      <c r="I11" s="165"/>
      <c r="J11" s="268" t="s">
        <v>99</v>
      </c>
      <c r="K11" s="268">
        <v>1809</v>
      </c>
      <c r="L11" s="268"/>
      <c r="M11" s="269">
        <v>1.5484100999999999</v>
      </c>
      <c r="N11" s="302">
        <v>2.0480100999999999</v>
      </c>
      <c r="O11" s="302">
        <v>0.57091599999999998</v>
      </c>
      <c r="P11" s="269">
        <v>1.4770941</v>
      </c>
      <c r="Q11" s="302">
        <v>7.1315939999999994E-2</v>
      </c>
      <c r="R11" s="269">
        <v>10.5922</v>
      </c>
      <c r="S11" s="268"/>
      <c r="T11" s="268"/>
      <c r="U11" s="268"/>
      <c r="V11" s="268"/>
      <c r="W11" s="268"/>
      <c r="X11" s="268"/>
      <c r="Y11" s="268"/>
      <c r="Z11" s="268"/>
      <c r="AA11" s="268"/>
      <c r="AB11" s="268"/>
    </row>
    <row r="12" spans="1:28">
      <c r="A12" s="165"/>
      <c r="B12" s="165"/>
      <c r="C12" s="165"/>
      <c r="D12" s="165"/>
      <c r="E12" s="165"/>
      <c r="F12" s="165"/>
      <c r="G12" s="165"/>
      <c r="H12" s="165"/>
      <c r="I12" s="165"/>
      <c r="J12" s="268" t="s">
        <v>99</v>
      </c>
      <c r="K12" s="268">
        <v>10</v>
      </c>
      <c r="L12" s="268"/>
      <c r="M12" s="269">
        <v>1.59592</v>
      </c>
      <c r="N12" s="302">
        <v>1.3872499</v>
      </c>
      <c r="O12" s="302">
        <v>0.48384400999999999</v>
      </c>
      <c r="P12" s="269">
        <v>0.90340593000000002</v>
      </c>
      <c r="Q12" s="302">
        <v>0.69251403</v>
      </c>
      <c r="R12" s="269">
        <v>8.1642904000000005</v>
      </c>
      <c r="S12" s="268"/>
      <c r="T12" s="268"/>
      <c r="U12" s="268"/>
      <c r="V12" s="268"/>
      <c r="W12" s="268"/>
      <c r="X12" s="268"/>
      <c r="Y12" s="268"/>
      <c r="Z12" s="268"/>
      <c r="AA12" s="268"/>
      <c r="AB12" s="268"/>
    </row>
    <row r="13" spans="1:28">
      <c r="A13" s="165"/>
      <c r="B13" s="165"/>
      <c r="C13" s="165"/>
      <c r="D13" s="165"/>
      <c r="E13" s="165"/>
      <c r="F13" s="165"/>
      <c r="G13" s="165"/>
      <c r="H13" s="165"/>
      <c r="I13" s="165"/>
      <c r="J13" s="268" t="s">
        <v>99</v>
      </c>
      <c r="K13" s="268">
        <v>1811</v>
      </c>
      <c r="L13" s="268"/>
      <c r="M13" s="269">
        <v>2.4869001000000002</v>
      </c>
      <c r="N13" s="302">
        <v>1.38931</v>
      </c>
      <c r="O13" s="302">
        <v>0.42517199999999999</v>
      </c>
      <c r="P13" s="269">
        <v>0.96413800000000005</v>
      </c>
      <c r="Q13" s="302">
        <v>1.5227621</v>
      </c>
      <c r="R13" s="269">
        <v>7.7948297999999996</v>
      </c>
      <c r="S13" s="268"/>
      <c r="T13" s="268"/>
      <c r="U13" s="268"/>
      <c r="V13" s="268"/>
      <c r="W13" s="268"/>
      <c r="X13" s="268"/>
      <c r="Y13" s="268"/>
      <c r="Z13" s="268"/>
      <c r="AA13" s="268"/>
      <c r="AB13" s="268"/>
    </row>
    <row r="14" spans="1:28">
      <c r="A14" s="165"/>
      <c r="B14" s="165"/>
      <c r="C14" s="165"/>
      <c r="D14" s="165"/>
      <c r="E14" s="165"/>
      <c r="F14" s="165"/>
      <c r="G14" s="165"/>
      <c r="H14" s="165"/>
      <c r="I14" s="165"/>
      <c r="J14" s="268" t="s">
        <v>99</v>
      </c>
      <c r="K14" s="268">
        <v>1812</v>
      </c>
      <c r="L14" s="268"/>
      <c r="M14" s="269">
        <v>1.7224999999999999</v>
      </c>
      <c r="N14" s="302">
        <v>3.5643201000000002</v>
      </c>
      <c r="O14" s="302">
        <v>0.43075600000000003</v>
      </c>
      <c r="P14" s="269">
        <v>3.1335641000000001</v>
      </c>
      <c r="Q14" s="302">
        <v>-1.4110640999999999</v>
      </c>
      <c r="R14" s="269">
        <v>9.8353300000000008</v>
      </c>
      <c r="S14" s="268"/>
      <c r="T14" s="268"/>
      <c r="U14" s="268"/>
      <c r="V14" s="268"/>
      <c r="W14" s="268"/>
      <c r="X14" s="268"/>
      <c r="Y14" s="268"/>
      <c r="Z14" s="268"/>
      <c r="AA14" s="268"/>
      <c r="AB14" s="268"/>
    </row>
    <row r="15" spans="1:28">
      <c r="A15" s="165"/>
      <c r="B15" s="165"/>
      <c r="C15" s="165"/>
      <c r="D15" s="165"/>
      <c r="E15" s="165"/>
      <c r="F15" s="165"/>
      <c r="G15" s="165"/>
      <c r="H15" s="165"/>
      <c r="I15" s="165"/>
      <c r="J15" s="268" t="s">
        <v>99</v>
      </c>
      <c r="K15" s="268">
        <v>1813</v>
      </c>
      <c r="L15" s="268"/>
      <c r="M15" s="269">
        <v>2.3017699999999999</v>
      </c>
      <c r="N15" s="302">
        <v>5.0853900999999997</v>
      </c>
      <c r="O15" s="302">
        <v>0.57768898999999996</v>
      </c>
      <c r="P15" s="269">
        <v>4.5077011000000002</v>
      </c>
      <c r="Q15" s="302">
        <v>-2.2059310999999999</v>
      </c>
      <c r="R15" s="269">
        <v>13.0799</v>
      </c>
      <c r="S15" s="268"/>
      <c r="T15" s="268"/>
      <c r="U15" s="268"/>
      <c r="V15" s="268"/>
      <c r="W15" s="268"/>
      <c r="X15" s="268"/>
      <c r="Y15" s="268"/>
      <c r="Z15" s="268"/>
      <c r="AA15" s="268"/>
      <c r="AB15" s="268"/>
    </row>
    <row r="16" spans="1:28">
      <c r="A16" s="165"/>
      <c r="B16" s="165"/>
      <c r="C16" s="165"/>
      <c r="D16" s="165"/>
      <c r="E16" s="165"/>
      <c r="F16" s="165"/>
      <c r="G16" s="165"/>
      <c r="H16" s="165"/>
      <c r="I16" s="165"/>
      <c r="J16" s="268" t="s">
        <v>99</v>
      </c>
      <c r="K16" s="268">
        <v>1814</v>
      </c>
      <c r="L16" s="268"/>
      <c r="M16" s="269">
        <v>1.5951500000000001</v>
      </c>
      <c r="N16" s="302">
        <v>4.9530702</v>
      </c>
      <c r="O16" s="302">
        <v>0.65520697999999999</v>
      </c>
      <c r="P16" s="269">
        <v>4.2978632000000001</v>
      </c>
      <c r="Q16" s="302">
        <v>-2.7027131999999998</v>
      </c>
      <c r="R16" s="269">
        <v>14.2416</v>
      </c>
      <c r="S16" s="268"/>
      <c r="T16" s="268"/>
      <c r="U16" s="268"/>
      <c r="V16" s="268"/>
      <c r="W16" s="268"/>
      <c r="X16" s="268"/>
      <c r="Y16" s="268"/>
      <c r="Z16" s="268"/>
      <c r="AA16" s="268"/>
      <c r="AB16" s="268"/>
    </row>
    <row r="17" spans="1:28">
      <c r="A17" s="165"/>
      <c r="B17" s="165"/>
      <c r="C17" s="165"/>
      <c r="D17" s="165"/>
      <c r="E17" s="165"/>
      <c r="F17" s="165"/>
      <c r="G17" s="165"/>
      <c r="H17" s="165"/>
      <c r="I17" s="165"/>
      <c r="J17" s="268" t="s">
        <v>99</v>
      </c>
      <c r="K17" s="268">
        <v>1815</v>
      </c>
      <c r="L17" s="268"/>
      <c r="M17" s="269">
        <v>1.9370700000000001</v>
      </c>
      <c r="N17" s="302">
        <v>4.0280800000000001</v>
      </c>
      <c r="O17" s="302">
        <v>0.70874398999999999</v>
      </c>
      <c r="P17" s="269">
        <v>3.3193359999999998</v>
      </c>
      <c r="Q17" s="302">
        <v>-1.382266</v>
      </c>
      <c r="R17" s="269">
        <v>15.681699999999999</v>
      </c>
      <c r="S17" s="268"/>
      <c r="T17" s="268"/>
      <c r="U17" s="268"/>
      <c r="V17" s="268"/>
      <c r="W17" s="268"/>
      <c r="X17" s="268"/>
      <c r="Y17" s="268"/>
      <c r="Z17" s="268"/>
      <c r="AA17" s="268"/>
      <c r="AB17" s="268"/>
    </row>
    <row r="18" spans="1:28">
      <c r="A18" s="165"/>
      <c r="B18" s="165"/>
      <c r="C18" s="165"/>
      <c r="D18" s="165"/>
      <c r="E18" s="165"/>
      <c r="F18" s="165"/>
      <c r="G18" s="165"/>
      <c r="H18" s="165"/>
      <c r="I18" s="165"/>
      <c r="J18" s="268" t="s">
        <v>99</v>
      </c>
      <c r="K18" s="268">
        <v>1816</v>
      </c>
      <c r="L18" s="268"/>
      <c r="M18" s="269">
        <v>5.5829000000000004</v>
      </c>
      <c r="N18" s="302">
        <v>3.58162</v>
      </c>
      <c r="O18" s="302">
        <v>0.84461403000000002</v>
      </c>
      <c r="P18" s="269">
        <v>2.7370059000000002</v>
      </c>
      <c r="Q18" s="302">
        <v>2.8458941000000002</v>
      </c>
      <c r="R18" s="269">
        <v>14.4604</v>
      </c>
      <c r="S18" s="268"/>
      <c r="T18" s="268"/>
      <c r="U18" s="268"/>
      <c r="V18" s="268"/>
      <c r="W18" s="268"/>
      <c r="X18" s="268"/>
      <c r="Y18" s="268"/>
      <c r="Z18" s="268"/>
      <c r="AA18" s="268"/>
      <c r="AB18" s="268"/>
    </row>
    <row r="19" spans="1:28">
      <c r="A19" s="165"/>
      <c r="B19" s="165"/>
      <c r="C19" s="165"/>
      <c r="D19" s="165"/>
      <c r="E19" s="165"/>
      <c r="F19" s="165"/>
      <c r="G19" s="165"/>
      <c r="H19" s="165"/>
      <c r="I19" s="165"/>
      <c r="J19" s="268" t="s">
        <v>99</v>
      </c>
      <c r="K19" s="268">
        <v>1817</v>
      </c>
      <c r="L19" s="268"/>
      <c r="M19" s="269">
        <v>3.9077899</v>
      </c>
      <c r="N19" s="302">
        <v>2.5789800000000001</v>
      </c>
      <c r="O19" s="302">
        <v>0.75430900000000001</v>
      </c>
      <c r="P19" s="269">
        <v>1.8246709999999999</v>
      </c>
      <c r="Q19" s="302">
        <v>2.0831189999999999</v>
      </c>
      <c r="R19" s="269">
        <v>12.2157</v>
      </c>
      <c r="S19" s="268"/>
      <c r="T19" s="268"/>
      <c r="U19" s="268"/>
      <c r="V19" s="268"/>
      <c r="W19" s="268"/>
      <c r="X19" s="268"/>
      <c r="Y19" s="268"/>
      <c r="Z19" s="268"/>
      <c r="AA19" s="268"/>
      <c r="AB19" s="268"/>
    </row>
    <row r="20" spans="1:28">
      <c r="A20" s="165"/>
      <c r="B20" s="165"/>
      <c r="C20" s="165"/>
      <c r="D20" s="165"/>
      <c r="E20" s="165"/>
      <c r="F20" s="165"/>
      <c r="G20" s="165"/>
      <c r="H20" s="165"/>
      <c r="I20" s="165"/>
      <c r="J20" s="268" t="s">
        <v>99</v>
      </c>
      <c r="K20" s="268">
        <v>1818</v>
      </c>
      <c r="L20" s="268"/>
      <c r="M20" s="269">
        <v>2.6452200000000001</v>
      </c>
      <c r="N20" s="302">
        <v>2.4295298999999999</v>
      </c>
      <c r="O20" s="302">
        <v>0.73725498</v>
      </c>
      <c r="P20" s="269">
        <v>1.6922748999999999</v>
      </c>
      <c r="Q20" s="302">
        <v>0.95294511000000004</v>
      </c>
      <c r="R20" s="269">
        <v>11.707100000000001</v>
      </c>
      <c r="S20" s="268"/>
      <c r="T20" s="268"/>
      <c r="U20" s="268"/>
      <c r="V20" s="268"/>
      <c r="W20" s="268"/>
      <c r="X20" s="268"/>
      <c r="Y20" s="268"/>
      <c r="Z20" s="268"/>
      <c r="AA20" s="268"/>
      <c r="AB20" s="268"/>
    </row>
    <row r="21" spans="1:28">
      <c r="A21" s="165"/>
      <c r="B21" s="165"/>
      <c r="C21" s="165"/>
      <c r="D21" s="165"/>
      <c r="E21" s="165"/>
      <c r="F21" s="165"/>
      <c r="G21" s="165"/>
      <c r="H21" s="165"/>
      <c r="I21" s="165"/>
      <c r="J21" s="268" t="s">
        <v>99</v>
      </c>
      <c r="K21" s="268">
        <v>1819</v>
      </c>
      <c r="L21" s="268"/>
      <c r="M21" s="269">
        <v>3.2629999999999999</v>
      </c>
      <c r="N21" s="302">
        <v>2.8466798999999998</v>
      </c>
      <c r="O21" s="302">
        <v>0.68488097000000003</v>
      </c>
      <c r="P21" s="269">
        <v>2.1617989999999998</v>
      </c>
      <c r="Q21" s="302">
        <v>1.1012010999999999</v>
      </c>
      <c r="R21" s="269">
        <v>12.071099999999999</v>
      </c>
      <c r="S21" s="268"/>
      <c r="T21" s="268"/>
      <c r="U21" s="268"/>
      <c r="V21" s="268"/>
      <c r="W21" s="268"/>
      <c r="X21" s="268"/>
      <c r="Y21" s="268"/>
      <c r="Z21" s="268"/>
      <c r="AA21" s="268"/>
      <c r="AB21" s="268"/>
    </row>
    <row r="22" spans="1:28">
      <c r="A22" s="165"/>
      <c r="B22" s="165"/>
      <c r="C22" s="165"/>
      <c r="D22" s="165"/>
      <c r="E22" s="165"/>
      <c r="F22" s="165"/>
      <c r="G22" s="165"/>
      <c r="H22" s="165"/>
      <c r="I22" s="165"/>
      <c r="J22" s="268" t="s">
        <v>99</v>
      </c>
      <c r="K22" s="268">
        <v>20</v>
      </c>
      <c r="L22" s="268"/>
      <c r="M22" s="269">
        <v>2.7257600000000002</v>
      </c>
      <c r="N22" s="302">
        <v>2.78369</v>
      </c>
      <c r="O22" s="302">
        <v>0.78140301000000001</v>
      </c>
      <c r="P22" s="269">
        <v>2.0022869999999999</v>
      </c>
      <c r="Q22" s="302">
        <v>0.72347300999999997</v>
      </c>
      <c r="R22" s="269">
        <v>13.717499999999999</v>
      </c>
      <c r="S22" s="268"/>
      <c r="T22" s="268"/>
      <c r="U22" s="268"/>
      <c r="V22" s="268"/>
      <c r="W22" s="268"/>
      <c r="X22" s="268"/>
      <c r="Y22" s="268"/>
      <c r="Z22" s="268"/>
      <c r="AA22" s="268"/>
      <c r="AB22" s="268"/>
    </row>
    <row r="23" spans="1:28">
      <c r="A23" s="165"/>
      <c r="B23" s="165"/>
      <c r="C23" s="165"/>
      <c r="D23" s="165"/>
      <c r="E23" s="165"/>
      <c r="F23" s="165"/>
      <c r="G23" s="165"/>
      <c r="H23" s="165"/>
      <c r="I23" s="165"/>
      <c r="J23" s="268" t="s">
        <v>99</v>
      </c>
      <c r="K23" s="268">
        <v>1821</v>
      </c>
      <c r="L23" s="268"/>
      <c r="M23" s="269">
        <v>2.40082</v>
      </c>
      <c r="N23" s="302">
        <v>2.6047799999999999</v>
      </c>
      <c r="O23" s="302">
        <v>0.83805602999999995</v>
      </c>
      <c r="P23" s="269">
        <v>1.7667238999999999</v>
      </c>
      <c r="Q23" s="302">
        <v>0.63409609</v>
      </c>
      <c r="R23" s="269">
        <v>15.4114</v>
      </c>
      <c r="S23" s="268"/>
      <c r="T23" s="268"/>
      <c r="U23" s="268"/>
      <c r="V23" s="268"/>
      <c r="W23" s="268"/>
      <c r="X23" s="268"/>
      <c r="Y23" s="268"/>
      <c r="Z23" s="268"/>
      <c r="AA23" s="268"/>
      <c r="AB23" s="268"/>
    </row>
    <row r="24" spans="1:28">
      <c r="A24" s="165"/>
      <c r="B24" s="165"/>
      <c r="C24" s="165"/>
      <c r="D24" s="165"/>
      <c r="E24" s="165"/>
      <c r="F24" s="165"/>
      <c r="G24" s="165"/>
      <c r="H24" s="165"/>
      <c r="I24" s="165"/>
      <c r="J24" s="268" t="s">
        <v>99</v>
      </c>
      <c r="K24" s="268">
        <v>1822</v>
      </c>
      <c r="L24" s="268"/>
      <c r="M24" s="269">
        <v>2.8738598999999998</v>
      </c>
      <c r="N24" s="302">
        <v>2.1306801000000002</v>
      </c>
      <c r="O24" s="302">
        <v>0.73480098999999999</v>
      </c>
      <c r="P24" s="269">
        <v>1.3958790999999999</v>
      </c>
      <c r="Q24" s="302">
        <v>1.4779808000000001</v>
      </c>
      <c r="R24" s="269">
        <v>12.9085</v>
      </c>
      <c r="S24" s="268"/>
      <c r="T24" s="268"/>
      <c r="U24" s="268"/>
      <c r="V24" s="268"/>
      <c r="W24" s="268"/>
      <c r="X24" s="268"/>
      <c r="Y24" s="268"/>
      <c r="Z24" s="268"/>
      <c r="AA24" s="268"/>
      <c r="AB24" s="268"/>
    </row>
    <row r="25" spans="1:28">
      <c r="A25" s="165"/>
      <c r="B25" s="165"/>
      <c r="C25" s="165"/>
      <c r="D25" s="165"/>
      <c r="E25" s="165"/>
      <c r="F25" s="165"/>
      <c r="G25" s="165"/>
      <c r="H25" s="165"/>
      <c r="I25" s="165"/>
      <c r="J25" s="268" t="s">
        <v>99</v>
      </c>
      <c r="K25" s="268">
        <v>1823</v>
      </c>
      <c r="L25" s="268"/>
      <c r="M25" s="269">
        <v>2.9386301000000001</v>
      </c>
      <c r="N25" s="302">
        <v>2.1040101</v>
      </c>
      <c r="O25" s="302">
        <v>0.70429200000000003</v>
      </c>
      <c r="P25" s="269">
        <v>1.3997181000000001</v>
      </c>
      <c r="Q25" s="302">
        <v>1.5389120000000001</v>
      </c>
      <c r="R25" s="269">
        <v>12.914199999999999</v>
      </c>
      <c r="S25" s="268"/>
      <c r="T25" s="268"/>
      <c r="U25" s="268"/>
      <c r="V25" s="268"/>
      <c r="W25" s="268"/>
      <c r="X25" s="268"/>
      <c r="Y25" s="268"/>
      <c r="Z25" s="268"/>
      <c r="AA25" s="268"/>
      <c r="AB25" s="268"/>
    </row>
    <row r="26" spans="1:28">
      <c r="A26" s="165"/>
      <c r="B26" s="165"/>
      <c r="C26" s="165"/>
      <c r="D26" s="165"/>
      <c r="E26" s="165"/>
      <c r="F26" s="165"/>
      <c r="G26" s="165"/>
      <c r="H26" s="165"/>
      <c r="I26" s="165"/>
      <c r="J26" s="268" t="s">
        <v>99</v>
      </c>
      <c r="K26" s="268">
        <v>1824</v>
      </c>
      <c r="L26" s="268"/>
      <c r="M26" s="269">
        <v>2.5806898999999999</v>
      </c>
      <c r="N26" s="302">
        <v>2.7066599999999998</v>
      </c>
      <c r="O26" s="302">
        <v>0.66537999999999997</v>
      </c>
      <c r="P26" s="269">
        <v>2.04128</v>
      </c>
      <c r="Q26" s="302">
        <v>0.53940988000000001</v>
      </c>
      <c r="R26" s="269">
        <v>11.1569</v>
      </c>
      <c r="S26" s="268"/>
      <c r="T26" s="268"/>
      <c r="U26" s="268"/>
      <c r="V26" s="268"/>
      <c r="W26" s="268"/>
      <c r="X26" s="268"/>
      <c r="Y26" s="268"/>
      <c r="Z26" s="268"/>
      <c r="AA26" s="268"/>
      <c r="AB26" s="268"/>
    </row>
    <row r="27" spans="1:28">
      <c r="A27" s="165"/>
      <c r="B27" s="165"/>
      <c r="C27" s="165"/>
      <c r="D27" s="165"/>
      <c r="E27" s="165"/>
      <c r="F27" s="165"/>
      <c r="G27" s="165"/>
      <c r="H27" s="165"/>
      <c r="I27" s="165"/>
      <c r="J27" s="268" t="s">
        <v>99</v>
      </c>
      <c r="K27" s="268">
        <v>1825</v>
      </c>
      <c r="L27" s="268"/>
      <c r="M27" s="269">
        <v>2.5695299999999999</v>
      </c>
      <c r="N27" s="302">
        <v>1.8655299999999999</v>
      </c>
      <c r="O27" s="302">
        <v>0.51376498000000004</v>
      </c>
      <c r="P27" s="269">
        <v>1.3517650000000001</v>
      </c>
      <c r="Q27" s="302">
        <v>1.217765</v>
      </c>
      <c r="R27" s="269">
        <v>9.5357599000000004</v>
      </c>
      <c r="S27" s="268"/>
      <c r="T27" s="268"/>
      <c r="U27" s="268"/>
      <c r="V27" s="268"/>
      <c r="W27" s="268"/>
      <c r="X27" s="268"/>
      <c r="Y27" s="268"/>
      <c r="Z27" s="268"/>
      <c r="AA27" s="268"/>
      <c r="AB27" s="268"/>
    </row>
    <row r="28" spans="1:28">
      <c r="A28" s="165"/>
      <c r="B28" s="165"/>
      <c r="C28" s="165"/>
      <c r="D28" s="165"/>
      <c r="E28" s="165"/>
      <c r="F28" s="165"/>
      <c r="G28" s="165"/>
      <c r="H28" s="165"/>
      <c r="I28" s="165"/>
      <c r="J28" s="268" t="s">
        <v>99</v>
      </c>
      <c r="K28" s="268">
        <v>1826</v>
      </c>
      <c r="L28" s="268"/>
      <c r="M28" s="269">
        <v>2.8574700000000002</v>
      </c>
      <c r="N28" s="302">
        <v>1.9271499999999999</v>
      </c>
      <c r="O28" s="302">
        <v>0.44943400999999999</v>
      </c>
      <c r="P28" s="269">
        <v>1.477716</v>
      </c>
      <c r="Q28" s="302">
        <v>1.3797539999999999</v>
      </c>
      <c r="R28" s="269">
        <v>8.3695698000000007</v>
      </c>
      <c r="S28" s="268"/>
      <c r="T28" s="268"/>
      <c r="U28" s="268"/>
      <c r="V28" s="268"/>
      <c r="W28" s="268"/>
      <c r="X28" s="268"/>
      <c r="Y28" s="268"/>
      <c r="Z28" s="268"/>
      <c r="AA28" s="268"/>
      <c r="AB28" s="268"/>
    </row>
    <row r="29" spans="1:28">
      <c r="A29" s="165"/>
      <c r="B29" s="165"/>
      <c r="C29" s="165"/>
      <c r="D29" s="165"/>
      <c r="E29" s="165"/>
      <c r="F29" s="165"/>
      <c r="G29" s="165"/>
      <c r="H29" s="165"/>
      <c r="I29" s="165"/>
      <c r="J29" s="268" t="s">
        <v>99</v>
      </c>
      <c r="K29" s="268">
        <v>1827</v>
      </c>
      <c r="L29" s="268"/>
      <c r="M29" s="269">
        <v>2.6458499</v>
      </c>
      <c r="N29" s="302">
        <v>1.8593301</v>
      </c>
      <c r="O29" s="302">
        <v>0.401613</v>
      </c>
      <c r="P29" s="269">
        <v>1.4577171</v>
      </c>
      <c r="Q29" s="302">
        <v>1.1881329</v>
      </c>
      <c r="R29" s="269">
        <v>7.7736200999999996</v>
      </c>
      <c r="S29" s="268"/>
      <c r="T29" s="268"/>
      <c r="U29" s="268"/>
      <c r="V29" s="268"/>
      <c r="W29" s="268"/>
      <c r="X29" s="268"/>
      <c r="Y29" s="268"/>
      <c r="Z29" s="268"/>
      <c r="AA29" s="268"/>
      <c r="AB29" s="268"/>
    </row>
    <row r="30" spans="1:28">
      <c r="A30" s="165"/>
      <c r="B30" s="165"/>
      <c r="C30" s="165"/>
      <c r="D30" s="165"/>
      <c r="E30" s="165"/>
      <c r="F30" s="165"/>
      <c r="G30" s="165"/>
      <c r="H30" s="165"/>
      <c r="I30" s="165"/>
      <c r="J30" s="268" t="s">
        <v>99</v>
      </c>
      <c r="K30" s="268">
        <v>1828</v>
      </c>
      <c r="L30" s="268"/>
      <c r="M30" s="269">
        <v>2.8109000000000002</v>
      </c>
      <c r="N30" s="302">
        <v>1.8609500000000001</v>
      </c>
      <c r="O30" s="302">
        <v>0.35175898999999999</v>
      </c>
      <c r="P30" s="269">
        <v>1.5091909999999999</v>
      </c>
      <c r="Q30" s="302">
        <v>1.301709</v>
      </c>
      <c r="R30" s="269">
        <v>6.6312198999999996</v>
      </c>
      <c r="S30" s="268"/>
      <c r="T30" s="268"/>
      <c r="U30" s="268"/>
      <c r="V30" s="268"/>
      <c r="W30" s="268"/>
      <c r="X30" s="268"/>
      <c r="Y30" s="268"/>
      <c r="Z30" s="268"/>
      <c r="AA30" s="268"/>
      <c r="AB30" s="268"/>
    </row>
    <row r="31" spans="1:28" ht="13.15" customHeight="1">
      <c r="A31" s="165"/>
      <c r="B31" s="165"/>
      <c r="C31" s="165"/>
      <c r="D31" s="165"/>
      <c r="E31" s="165"/>
      <c r="F31" s="165"/>
      <c r="G31" s="165"/>
      <c r="H31" s="165"/>
      <c r="I31" s="165"/>
      <c r="J31" s="268" t="s">
        <v>99</v>
      </c>
      <c r="K31" s="268">
        <v>1829</v>
      </c>
      <c r="L31" s="268"/>
      <c r="M31" s="269">
        <v>2.7434199000000001</v>
      </c>
      <c r="N31" s="302">
        <v>1.6798900000000001</v>
      </c>
      <c r="O31" s="302">
        <v>0.28099500999999999</v>
      </c>
      <c r="P31" s="269">
        <v>1.398895</v>
      </c>
      <c r="Q31" s="302">
        <v>1.3445248999999999</v>
      </c>
      <c r="R31" s="269">
        <v>5.3663001000000001</v>
      </c>
      <c r="S31" s="268"/>
      <c r="T31" s="326" t="s">
        <v>234</v>
      </c>
      <c r="U31" s="326" t="s">
        <v>245</v>
      </c>
      <c r="V31" s="326" t="s">
        <v>873</v>
      </c>
      <c r="W31" s="327" t="s">
        <v>874</v>
      </c>
      <c r="X31" s="326" t="s">
        <v>875</v>
      </c>
      <c r="Y31" s="326" t="s">
        <v>876</v>
      </c>
      <c r="Z31" s="327" t="s">
        <v>877</v>
      </c>
      <c r="AA31" s="326" t="s">
        <v>878</v>
      </c>
      <c r="AB31" s="327" t="s">
        <v>879</v>
      </c>
    </row>
    <row r="32" spans="1:28">
      <c r="A32" s="165"/>
      <c r="B32" s="165"/>
      <c r="C32" s="165"/>
      <c r="D32" s="165"/>
      <c r="E32" s="165"/>
      <c r="F32" s="165"/>
      <c r="G32" s="165"/>
      <c r="H32" s="165"/>
      <c r="I32" s="165"/>
      <c r="J32" s="268" t="s">
        <v>99</v>
      </c>
      <c r="K32" s="268">
        <v>30</v>
      </c>
      <c r="L32" s="268"/>
      <c r="M32" s="269">
        <v>2.6628101000000002</v>
      </c>
      <c r="N32" s="302">
        <v>1.62304</v>
      </c>
      <c r="O32" s="302">
        <v>0.20514499999999999</v>
      </c>
      <c r="P32" s="269">
        <v>1.4178949999999999</v>
      </c>
      <c r="Q32" s="302">
        <v>1.2449151000000001</v>
      </c>
      <c r="R32" s="269">
        <v>4.1932501999999996</v>
      </c>
      <c r="S32" s="268"/>
      <c r="T32" s="268" t="s">
        <v>97</v>
      </c>
      <c r="U32" s="268">
        <v>1830</v>
      </c>
      <c r="V32" s="268"/>
      <c r="W32" s="269">
        <v>12.283899999999999</v>
      </c>
      <c r="X32" s="302">
        <v>11.828900000000001</v>
      </c>
      <c r="Y32" s="302">
        <v>6.2111802000000003</v>
      </c>
      <c r="Z32" s="269">
        <v>5.6177200999999997</v>
      </c>
      <c r="AA32" s="302">
        <v>6.6661801000000001</v>
      </c>
      <c r="AB32" s="269">
        <v>165.63200000000001</v>
      </c>
    </row>
    <row r="33" spans="1:28">
      <c r="A33" s="165"/>
      <c r="B33" s="165"/>
      <c r="C33" s="165"/>
      <c r="D33" s="165"/>
      <c r="E33" s="165"/>
      <c r="F33" s="165"/>
      <c r="G33" s="165"/>
      <c r="H33" s="165"/>
      <c r="I33" s="165"/>
      <c r="J33" s="268" t="s">
        <v>99</v>
      </c>
      <c r="K33" s="268">
        <v>1831</v>
      </c>
      <c r="L33" s="268"/>
      <c r="M33" s="269">
        <v>2.6586200999999998</v>
      </c>
      <c r="N33" s="302">
        <v>1.42106</v>
      </c>
      <c r="O33" s="302">
        <v>0.12898399999999999</v>
      </c>
      <c r="P33" s="269">
        <v>1.292076</v>
      </c>
      <c r="Q33" s="302">
        <v>1.3665442000000001</v>
      </c>
      <c r="R33" s="269">
        <v>2.2667301000000002</v>
      </c>
      <c r="S33" s="268"/>
      <c r="T33" s="268" t="s">
        <v>97</v>
      </c>
      <c r="U33" s="268">
        <v>1831</v>
      </c>
      <c r="V33" s="268"/>
      <c r="W33" s="269">
        <v>11.5411</v>
      </c>
      <c r="X33" s="302">
        <v>11.5411</v>
      </c>
      <c r="Y33" s="302">
        <v>6.25</v>
      </c>
      <c r="Z33" s="269">
        <v>5.2910994999999996</v>
      </c>
      <c r="AA33" s="302">
        <v>6.25</v>
      </c>
      <c r="AB33" s="269">
        <v>164.58299</v>
      </c>
    </row>
    <row r="34" spans="1:28">
      <c r="A34" s="165"/>
      <c r="B34" s="165"/>
      <c r="C34" s="165"/>
      <c r="D34" s="165"/>
      <c r="E34" s="165"/>
      <c r="F34" s="165"/>
      <c r="G34" s="165"/>
      <c r="H34" s="165"/>
      <c r="I34" s="165"/>
      <c r="J34" s="268" t="s">
        <v>99</v>
      </c>
      <c r="K34" s="268">
        <v>1832</v>
      </c>
      <c r="L34" s="268"/>
      <c r="M34" s="269">
        <v>2.7589600000000001</v>
      </c>
      <c r="N34" s="302">
        <v>1.4968801</v>
      </c>
      <c r="O34" s="302">
        <v>6.6925999999999999E-2</v>
      </c>
      <c r="P34" s="269">
        <v>1.4299541</v>
      </c>
      <c r="Q34" s="302">
        <v>1.3290059999999999</v>
      </c>
      <c r="R34" s="269">
        <v>0.60710001000000002</v>
      </c>
      <c r="S34" s="268"/>
      <c r="T34" s="268" t="s">
        <v>97</v>
      </c>
      <c r="U34" s="268">
        <v>1832</v>
      </c>
      <c r="V34" s="268"/>
      <c r="W34" s="269">
        <v>12.1806</v>
      </c>
      <c r="X34" s="302">
        <v>12.1806</v>
      </c>
      <c r="Y34" s="302">
        <v>6.5359502000000003</v>
      </c>
      <c r="Z34" s="269">
        <v>5.6446500000000004</v>
      </c>
      <c r="AA34" s="302">
        <v>6.5359502000000003</v>
      </c>
      <c r="AB34" s="269">
        <v>169.935</v>
      </c>
    </row>
    <row r="35" spans="1:28">
      <c r="A35" s="165"/>
      <c r="B35" s="165"/>
      <c r="C35" s="165"/>
      <c r="D35" s="165"/>
      <c r="E35" s="165"/>
      <c r="F35" s="165"/>
      <c r="G35" s="165"/>
      <c r="H35" s="165"/>
      <c r="I35" s="165"/>
      <c r="J35" s="268" t="s">
        <v>99</v>
      </c>
      <c r="K35" s="268">
        <v>1833</v>
      </c>
      <c r="L35" s="268"/>
      <c r="M35" s="269">
        <v>2.6154101000000001</v>
      </c>
      <c r="N35" s="302">
        <v>1.7733399999999999</v>
      </c>
      <c r="O35" s="302">
        <v>2.3421000000000001E-2</v>
      </c>
      <c r="P35" s="269">
        <v>1.749919</v>
      </c>
      <c r="Q35" s="302">
        <v>0.86549109999999996</v>
      </c>
      <c r="R35" s="269">
        <v>0.36671798999999999</v>
      </c>
      <c r="S35" s="268"/>
      <c r="T35" s="268" t="s">
        <v>97</v>
      </c>
      <c r="U35" s="268">
        <v>1833</v>
      </c>
      <c r="V35" s="268"/>
      <c r="W35" s="269">
        <v>12.135899999999999</v>
      </c>
      <c r="X35" s="302">
        <v>11.8932</v>
      </c>
      <c r="Y35" s="302">
        <v>6.6225199999999997</v>
      </c>
      <c r="Z35" s="269">
        <v>5.2706799999999996</v>
      </c>
      <c r="AA35" s="302">
        <v>6.8652195999999996</v>
      </c>
      <c r="AB35" s="269">
        <v>172.185</v>
      </c>
    </row>
    <row r="36" spans="1:28">
      <c r="A36" s="165"/>
      <c r="B36" s="165"/>
      <c r="C36" s="165"/>
      <c r="D36" s="165"/>
      <c r="E36" s="165"/>
      <c r="F36" s="165"/>
      <c r="G36" s="165"/>
      <c r="H36" s="165"/>
      <c r="I36" s="165"/>
      <c r="J36" s="268" t="s">
        <v>99</v>
      </c>
      <c r="K36" s="268">
        <v>1834</v>
      </c>
      <c r="L36" s="268"/>
      <c r="M36" s="269">
        <v>1.6348100000000001</v>
      </c>
      <c r="N36" s="302">
        <v>1.3974500000000001</v>
      </c>
      <c r="O36" s="302">
        <v>1.5154000000000001E-2</v>
      </c>
      <c r="P36" s="269">
        <v>1.382296</v>
      </c>
      <c r="Q36" s="302">
        <v>0.25251400000000002</v>
      </c>
      <c r="R36" s="269">
        <v>2.8509999999999998E-3</v>
      </c>
      <c r="S36" s="268"/>
      <c r="T36" s="268" t="s">
        <v>97</v>
      </c>
      <c r="U36" s="268">
        <v>1834</v>
      </c>
      <c r="V36" s="268"/>
      <c r="W36" s="269">
        <v>11.358499999999999</v>
      </c>
      <c r="X36" s="302">
        <v>11.1313</v>
      </c>
      <c r="Y36" s="302">
        <v>6.2370099999999997</v>
      </c>
      <c r="Z36" s="269">
        <v>4.8942899999999998</v>
      </c>
      <c r="AA36" s="302">
        <v>6.4642096000000002</v>
      </c>
      <c r="AB36" s="269">
        <v>162.16200000000001</v>
      </c>
    </row>
    <row r="37" spans="1:28">
      <c r="A37" s="165"/>
      <c r="B37" s="165"/>
      <c r="C37" s="165"/>
      <c r="D37" s="165"/>
      <c r="E37" s="165"/>
      <c r="F37" s="165"/>
      <c r="G37" s="165"/>
      <c r="H37" s="165"/>
      <c r="I37" s="165"/>
      <c r="J37" s="268" t="s">
        <v>99</v>
      </c>
      <c r="K37" s="268">
        <v>1835</v>
      </c>
      <c r="L37" s="268"/>
      <c r="M37" s="269">
        <v>2.1696301</v>
      </c>
      <c r="N37" s="302">
        <v>1.07612</v>
      </c>
      <c r="O37" s="302">
        <v>3.552E-3</v>
      </c>
      <c r="P37" s="269">
        <v>1.072568</v>
      </c>
      <c r="Q37" s="302">
        <v>1.097062</v>
      </c>
      <c r="R37" s="269">
        <v>2.3270000000000001E-3</v>
      </c>
      <c r="S37" s="268"/>
      <c r="T37" s="268" t="s">
        <v>97</v>
      </c>
      <c r="U37" s="268">
        <v>1835</v>
      </c>
      <c r="V37" s="268"/>
      <c r="W37" s="269">
        <v>10.6157</v>
      </c>
      <c r="X37" s="302">
        <v>10.1911</v>
      </c>
      <c r="Y37" s="302">
        <v>5.9055099000000002</v>
      </c>
      <c r="Z37" s="269">
        <v>4.2855901999999997</v>
      </c>
      <c r="AA37" s="302">
        <v>6.3301096000000001</v>
      </c>
      <c r="AB37" s="269">
        <v>151.57499999999999</v>
      </c>
    </row>
    <row r="38" spans="1:28">
      <c r="A38" s="165"/>
      <c r="B38" s="165"/>
      <c r="C38" s="165"/>
      <c r="D38" s="165"/>
      <c r="E38" s="165"/>
      <c r="F38" s="165"/>
      <c r="G38" s="165"/>
      <c r="H38" s="165"/>
      <c r="I38" s="165"/>
      <c r="J38" s="268" t="s">
        <v>99</v>
      </c>
      <c r="K38" s="268">
        <v>1836</v>
      </c>
      <c r="L38" s="268"/>
      <c r="M38" s="269">
        <v>2.6807498999999999</v>
      </c>
      <c r="N38" s="302">
        <v>1.6280600000000001</v>
      </c>
      <c r="O38" s="302">
        <v>2.6519999999999998E-3</v>
      </c>
      <c r="P38" s="269">
        <v>1.625408</v>
      </c>
      <c r="Q38" s="302">
        <v>1.0553418999999999</v>
      </c>
      <c r="R38" s="269">
        <v>1.7774000000000002E-2</v>
      </c>
      <c r="S38" s="268"/>
      <c r="T38" s="268" t="s">
        <v>97</v>
      </c>
      <c r="U38" s="268">
        <v>1836</v>
      </c>
      <c r="V38" s="268"/>
      <c r="W38" s="269">
        <v>10.4413</v>
      </c>
      <c r="X38" s="302">
        <v>9.8502797999999991</v>
      </c>
      <c r="Y38" s="302">
        <v>5.5350599000000003</v>
      </c>
      <c r="Z38" s="269">
        <v>4.3152198999999998</v>
      </c>
      <c r="AA38" s="302">
        <v>6.1260804999999996</v>
      </c>
      <c r="AB38" s="269">
        <v>145.75700000000001</v>
      </c>
    </row>
    <row r="39" spans="1:28">
      <c r="A39" s="165"/>
      <c r="B39" s="165"/>
      <c r="C39" s="165"/>
      <c r="D39" s="165"/>
      <c r="E39" s="165"/>
      <c r="F39" s="165"/>
      <c r="G39" s="165"/>
      <c r="H39" s="165"/>
      <c r="I39" s="165"/>
      <c r="J39" s="268" t="s">
        <v>99</v>
      </c>
      <c r="K39" s="268">
        <v>1837</v>
      </c>
      <c r="L39" s="268"/>
      <c r="M39" s="269">
        <v>1.36361</v>
      </c>
      <c r="N39" s="302">
        <v>2.0351400000000002</v>
      </c>
      <c r="O39" s="302">
        <v>1.753E-3</v>
      </c>
      <c r="P39" s="269">
        <v>2.0333869999999998</v>
      </c>
      <c r="Q39" s="302">
        <v>-0.66977701000000001</v>
      </c>
      <c r="R39" s="269">
        <v>0.18076500000000001</v>
      </c>
      <c r="S39" s="268"/>
      <c r="T39" s="268" t="s">
        <v>97</v>
      </c>
      <c r="U39" s="268">
        <v>1837</v>
      </c>
      <c r="V39" s="268"/>
      <c r="W39" s="269">
        <v>10.3263</v>
      </c>
      <c r="X39" s="302">
        <v>10.5328</v>
      </c>
      <c r="Y39" s="302">
        <v>5.7581600999999996</v>
      </c>
      <c r="Z39" s="269">
        <v>4.7746396000000004</v>
      </c>
      <c r="AA39" s="302">
        <v>5.5516601000000003</v>
      </c>
      <c r="AB39" s="269">
        <v>151.63200000000001</v>
      </c>
    </row>
    <row r="40" spans="1:28">
      <c r="A40" s="165"/>
      <c r="B40" s="165"/>
      <c r="C40" s="165"/>
      <c r="D40" s="165"/>
      <c r="E40" s="165"/>
      <c r="F40" s="165"/>
      <c r="G40" s="165"/>
      <c r="H40" s="165"/>
      <c r="I40" s="165"/>
      <c r="J40" s="268" t="s">
        <v>99</v>
      </c>
      <c r="K40" s="268">
        <v>1838</v>
      </c>
      <c r="L40" s="268"/>
      <c r="M40" s="269">
        <v>1.4961899999999999</v>
      </c>
      <c r="N40" s="302">
        <v>1.9263399999999999</v>
      </c>
      <c r="O40" s="302">
        <v>8.5300000000000003E-4</v>
      </c>
      <c r="P40" s="269">
        <v>1.9254869999999999</v>
      </c>
      <c r="Q40" s="302">
        <v>-0.42929703000000002</v>
      </c>
      <c r="R40" s="269">
        <v>0.59351498000000003</v>
      </c>
      <c r="S40" s="268"/>
      <c r="T40" s="268" t="s">
        <v>97</v>
      </c>
      <c r="U40" s="268">
        <v>1838</v>
      </c>
      <c r="V40" s="268"/>
      <c r="W40" s="269">
        <v>9.8171301</v>
      </c>
      <c r="X40" s="302">
        <v>10.009600000000001</v>
      </c>
      <c r="Y40" s="302">
        <v>5.4249501000000002</v>
      </c>
      <c r="Z40" s="269">
        <v>4.5846495999999997</v>
      </c>
      <c r="AA40" s="302">
        <v>5.2324805000000003</v>
      </c>
      <c r="AB40" s="269">
        <v>142.85699</v>
      </c>
    </row>
    <row r="41" spans="1:28">
      <c r="A41" s="165"/>
      <c r="B41" s="165"/>
      <c r="C41" s="165"/>
      <c r="D41" s="165"/>
      <c r="E41" s="165"/>
      <c r="F41" s="165"/>
      <c r="G41" s="165"/>
      <c r="H41" s="165"/>
      <c r="I41" s="165"/>
      <c r="J41" s="268" t="s">
        <v>99</v>
      </c>
      <c r="K41" s="268">
        <v>1839</v>
      </c>
      <c r="L41" s="268"/>
      <c r="M41" s="269">
        <v>1.6295500000000001</v>
      </c>
      <c r="N41" s="302">
        <v>1.39229</v>
      </c>
      <c r="O41" s="302">
        <v>2.0704E-2</v>
      </c>
      <c r="P41" s="269">
        <v>1.371586</v>
      </c>
      <c r="Q41" s="302">
        <v>0.25796397999999998</v>
      </c>
      <c r="R41" s="269">
        <v>0.18493799999999999</v>
      </c>
      <c r="S41" s="268"/>
      <c r="T41" s="268" t="s">
        <v>97</v>
      </c>
      <c r="U41" s="268">
        <v>1839</v>
      </c>
      <c r="V41" s="268"/>
      <c r="W41" s="269">
        <v>9.4648705</v>
      </c>
      <c r="X41" s="302">
        <v>9.6468896999999991</v>
      </c>
      <c r="Y41" s="302">
        <v>5.1546402000000002</v>
      </c>
      <c r="Z41" s="269">
        <v>4.4922494999999998</v>
      </c>
      <c r="AA41" s="302">
        <v>4.9726210000000002</v>
      </c>
      <c r="AB41" s="269">
        <v>135.739</v>
      </c>
    </row>
    <row r="42" spans="1:28">
      <c r="A42" s="165"/>
      <c r="B42" s="165"/>
      <c r="C42" s="165"/>
      <c r="D42" s="165"/>
      <c r="E42" s="165"/>
      <c r="F42" s="165"/>
      <c r="G42" s="165"/>
      <c r="H42" s="165"/>
      <c r="I42" s="165"/>
      <c r="J42" s="268" t="s">
        <v>99</v>
      </c>
      <c r="K42" s="268">
        <v>40</v>
      </c>
      <c r="L42" s="268"/>
      <c r="M42" s="269">
        <v>1.1260098999999999</v>
      </c>
      <c r="N42" s="302">
        <v>1.40567</v>
      </c>
      <c r="O42" s="302">
        <v>1.0116E-2</v>
      </c>
      <c r="P42" s="269">
        <v>1.395554</v>
      </c>
      <c r="Q42" s="302">
        <v>-0.26954411</v>
      </c>
      <c r="R42" s="269">
        <v>0.30352601000000001</v>
      </c>
      <c r="S42" s="268"/>
      <c r="T42" s="268" t="s">
        <v>97</v>
      </c>
      <c r="U42" s="268">
        <v>40</v>
      </c>
      <c r="V42" s="268"/>
      <c r="W42" s="269">
        <v>10.1981</v>
      </c>
      <c r="X42" s="302">
        <v>10.3942</v>
      </c>
      <c r="Y42" s="302">
        <v>5.4945002000000001</v>
      </c>
      <c r="Z42" s="269">
        <v>4.8997001999999998</v>
      </c>
      <c r="AA42" s="302">
        <v>5.2983998999999997</v>
      </c>
      <c r="AB42" s="269">
        <v>144.68899999999999</v>
      </c>
    </row>
    <row r="43" spans="1:28">
      <c r="A43" s="165"/>
      <c r="B43" s="165"/>
      <c r="C43" s="165" t="s">
        <v>880</v>
      </c>
      <c r="D43" s="165"/>
      <c r="E43" s="165"/>
      <c r="F43" s="165"/>
      <c r="G43" s="165"/>
      <c r="H43" s="165"/>
      <c r="I43" s="165"/>
      <c r="J43" s="268" t="s">
        <v>99</v>
      </c>
      <c r="K43" s="268">
        <v>1841</v>
      </c>
      <c r="L43" s="268"/>
      <c r="M43" s="269">
        <v>0.96674298999999997</v>
      </c>
      <c r="N43" s="302">
        <v>1.52328</v>
      </c>
      <c r="O43" s="302">
        <v>1.6341999999999999E-2</v>
      </c>
      <c r="P43" s="269">
        <v>1.5069380000000001</v>
      </c>
      <c r="Q43" s="302">
        <v>-0.54019503000000002</v>
      </c>
      <c r="R43" s="269">
        <v>0.77947199</v>
      </c>
      <c r="S43" s="268"/>
      <c r="T43" s="268" t="s">
        <v>97</v>
      </c>
      <c r="U43" s="268">
        <v>1841</v>
      </c>
      <c r="V43" s="268"/>
      <c r="W43" s="269">
        <v>10.8041</v>
      </c>
      <c r="X43" s="302">
        <v>11.2196</v>
      </c>
      <c r="Y43" s="302">
        <v>5.7692299</v>
      </c>
      <c r="Z43" s="269">
        <v>5.4503697999999998</v>
      </c>
      <c r="AA43" s="302">
        <v>5.3537302000000002</v>
      </c>
      <c r="AB43" s="269">
        <v>151.923</v>
      </c>
    </row>
    <row r="44" spans="1:28">
      <c r="A44" s="165"/>
      <c r="B44" s="165"/>
      <c r="C44" s="165" t="s">
        <v>881</v>
      </c>
      <c r="D44" s="165"/>
      <c r="E44" s="165"/>
      <c r="F44" s="165"/>
      <c r="G44" s="165"/>
      <c r="H44" s="165"/>
      <c r="I44" s="165"/>
      <c r="J44" s="268" t="s">
        <v>99</v>
      </c>
      <c r="K44" s="268">
        <v>1842</v>
      </c>
      <c r="L44" s="268"/>
      <c r="M44" s="269">
        <v>1.19617</v>
      </c>
      <c r="N44" s="302">
        <v>1.5093399999999999</v>
      </c>
      <c r="O44" s="302">
        <v>4.6346999999999999E-2</v>
      </c>
      <c r="P44" s="269">
        <v>1.462993</v>
      </c>
      <c r="Q44" s="302">
        <v>-0.26682307999999999</v>
      </c>
      <c r="R44" s="269">
        <v>1.20964</v>
      </c>
      <c r="S44" s="268"/>
      <c r="T44" s="268" t="s">
        <v>97</v>
      </c>
      <c r="U44" s="268">
        <v>1842</v>
      </c>
      <c r="V44" s="268"/>
      <c r="W44" s="269">
        <v>11.103899999999999</v>
      </c>
      <c r="X44" s="302">
        <v>11.9747</v>
      </c>
      <c r="Y44" s="302">
        <v>6</v>
      </c>
      <c r="Z44" s="269">
        <v>5.9747000000000003</v>
      </c>
      <c r="AA44" s="302">
        <v>5.1292</v>
      </c>
      <c r="AB44" s="269">
        <v>158</v>
      </c>
    </row>
    <row r="45" spans="1:28">
      <c r="A45" s="165"/>
      <c r="B45" s="165"/>
      <c r="C45" s="165" t="s">
        <v>882</v>
      </c>
      <c r="D45" s="165"/>
      <c r="E45" s="165"/>
      <c r="F45" s="165"/>
      <c r="G45" s="165"/>
      <c r="H45" s="165"/>
      <c r="I45" s="165"/>
      <c r="J45" s="268" t="s">
        <v>99</v>
      </c>
      <c r="K45" s="268">
        <v>1843</v>
      </c>
      <c r="L45" s="268"/>
      <c r="M45" s="269">
        <v>0.50751798999999997</v>
      </c>
      <c r="N45" s="302">
        <v>0.72481698000000006</v>
      </c>
      <c r="O45" s="302">
        <v>3.2029000000000002E-2</v>
      </c>
      <c r="P45" s="269">
        <v>0.69278797999999997</v>
      </c>
      <c r="Q45" s="302">
        <v>-0.18526999</v>
      </c>
      <c r="R45" s="269">
        <v>2.0014099999999999</v>
      </c>
      <c r="S45" s="268"/>
      <c r="T45" s="268" t="s">
        <v>97</v>
      </c>
      <c r="U45" s="268">
        <v>1843</v>
      </c>
      <c r="V45" s="268"/>
      <c r="W45" s="269">
        <v>12.426399999999999</v>
      </c>
      <c r="X45" s="302">
        <v>11.990399999999999</v>
      </c>
      <c r="Y45" s="302">
        <v>6.0240998000000001</v>
      </c>
      <c r="Z45" s="269">
        <v>5.9663005</v>
      </c>
      <c r="AA45" s="302">
        <v>6.4600996999999998</v>
      </c>
      <c r="AB45" s="269">
        <v>158.63498999999999</v>
      </c>
    </row>
    <row r="46" spans="1:28">
      <c r="A46" s="165"/>
      <c r="B46" s="165"/>
      <c r="C46" s="165"/>
      <c r="D46" s="165"/>
      <c r="E46" s="165"/>
      <c r="F46" s="165"/>
      <c r="G46" s="165"/>
      <c r="H46" s="165"/>
      <c r="I46" s="165"/>
      <c r="J46" s="268" t="s">
        <v>99</v>
      </c>
      <c r="K46" s="268">
        <v>1844</v>
      </c>
      <c r="L46" s="268"/>
      <c r="M46" s="269">
        <v>1.6163700000000001</v>
      </c>
      <c r="N46" s="302">
        <v>1.23142</v>
      </c>
      <c r="O46" s="302">
        <v>0.101103</v>
      </c>
      <c r="P46" s="269">
        <v>1.130317</v>
      </c>
      <c r="Q46" s="302">
        <v>0.48605292</v>
      </c>
      <c r="R46" s="269">
        <v>1.29339</v>
      </c>
      <c r="S46" s="268"/>
      <c r="T46" s="268" t="s">
        <v>97</v>
      </c>
      <c r="U46" s="268">
        <v>1844</v>
      </c>
      <c r="V46" s="268"/>
      <c r="W46" s="269">
        <v>11.464700000000001</v>
      </c>
      <c r="X46" s="302">
        <v>10.871700000000001</v>
      </c>
      <c r="Y46" s="302">
        <v>5.5248599</v>
      </c>
      <c r="Z46" s="269">
        <v>5.3468403999999996</v>
      </c>
      <c r="AA46" s="302">
        <v>6.1178594000000004</v>
      </c>
      <c r="AB46" s="269">
        <v>145.48801</v>
      </c>
    </row>
    <row r="47" spans="1:28">
      <c r="J47" s="268" t="s">
        <v>99</v>
      </c>
      <c r="K47" s="268">
        <v>1845</v>
      </c>
      <c r="L47" s="268"/>
      <c r="M47" s="269">
        <v>1.5322100000000001</v>
      </c>
      <c r="N47" s="302">
        <v>1.17265</v>
      </c>
      <c r="O47" s="302">
        <v>5.3170000000000002E-2</v>
      </c>
      <c r="P47" s="269">
        <v>1.11948</v>
      </c>
      <c r="Q47" s="302">
        <v>0.41273000999999998</v>
      </c>
      <c r="R47" s="269">
        <v>0.81416100000000002</v>
      </c>
      <c r="S47" s="268"/>
      <c r="T47" s="268" t="s">
        <v>97</v>
      </c>
      <c r="U47" s="268">
        <v>1845</v>
      </c>
      <c r="V47" s="268"/>
      <c r="W47" s="269">
        <v>10.6165</v>
      </c>
      <c r="X47" s="302">
        <v>10.057700000000001</v>
      </c>
      <c r="Y47" s="302">
        <v>5.2173901000000003</v>
      </c>
      <c r="Z47" s="269">
        <v>4.8403100999999999</v>
      </c>
      <c r="AA47" s="302">
        <v>5.7761898</v>
      </c>
      <c r="AB47" s="269">
        <v>137.39100999999999</v>
      </c>
    </row>
    <row r="48" spans="1:28">
      <c r="J48" s="268" t="s">
        <v>99</v>
      </c>
      <c r="K48" s="268">
        <v>1846</v>
      </c>
      <c r="L48" s="268"/>
      <c r="M48" s="269">
        <v>1.4403501000000001</v>
      </c>
      <c r="N48" s="302">
        <v>1.3466001000000001</v>
      </c>
      <c r="O48" s="302">
        <v>4.0883000000000003E-2</v>
      </c>
      <c r="P48" s="269">
        <v>1.3057171000000001</v>
      </c>
      <c r="Q48" s="302">
        <v>0.134633</v>
      </c>
      <c r="R48" s="269">
        <v>0.75412201999999995</v>
      </c>
      <c r="S48" s="268"/>
      <c r="T48" s="268" t="s">
        <v>97</v>
      </c>
      <c r="U48" s="268">
        <v>1846</v>
      </c>
      <c r="V48" s="268"/>
      <c r="W48" s="269">
        <v>9.9982796</v>
      </c>
      <c r="X48" s="302">
        <v>9.4811201000000001</v>
      </c>
      <c r="Y48" s="302">
        <v>4.8859900999999999</v>
      </c>
      <c r="Z48" s="269">
        <v>4.5951300000000002</v>
      </c>
      <c r="AA48" s="302">
        <v>5.4031495999999999</v>
      </c>
      <c r="AB48" s="269">
        <v>128.66498999999999</v>
      </c>
    </row>
    <row r="49" spans="10:28">
      <c r="J49" s="268" t="s">
        <v>99</v>
      </c>
      <c r="K49" s="268">
        <v>1847</v>
      </c>
      <c r="L49" s="268"/>
      <c r="M49" s="269">
        <v>1.13473</v>
      </c>
      <c r="N49" s="302">
        <v>2.4531499999999999</v>
      </c>
      <c r="O49" s="302">
        <v>4.7923E-2</v>
      </c>
      <c r="P49" s="269">
        <v>2.405227</v>
      </c>
      <c r="Q49" s="302">
        <v>-1.2704971</v>
      </c>
      <c r="R49" s="269">
        <v>1.66283</v>
      </c>
      <c r="S49" s="268"/>
      <c r="T49" s="268" t="s">
        <v>97</v>
      </c>
      <c r="U49" s="268">
        <v>1847</v>
      </c>
      <c r="V49" s="268"/>
      <c r="W49" s="269">
        <v>3.6447999000000002</v>
      </c>
      <c r="X49" s="302">
        <v>9.7746800999999994</v>
      </c>
      <c r="Y49" s="302">
        <v>4.7021898999999996</v>
      </c>
      <c r="Z49" s="269">
        <v>5.0724901999999998</v>
      </c>
      <c r="AA49" s="302">
        <v>-1.4276903000000001</v>
      </c>
      <c r="AB49" s="269">
        <v>123.824</v>
      </c>
    </row>
    <row r="50" spans="10:28">
      <c r="J50" s="268" t="s">
        <v>99</v>
      </c>
      <c r="K50" s="268">
        <v>1848</v>
      </c>
      <c r="L50" s="268"/>
      <c r="M50" s="269">
        <v>1.5059400000000001</v>
      </c>
      <c r="N50" s="302">
        <v>1.91222</v>
      </c>
      <c r="O50" s="302">
        <v>0.100759</v>
      </c>
      <c r="P50" s="269">
        <v>1.811461</v>
      </c>
      <c r="Q50" s="302">
        <v>-0.30552104000000002</v>
      </c>
      <c r="R50" s="269">
        <v>1.98251</v>
      </c>
      <c r="S50" s="268"/>
      <c r="T50" s="268" t="s">
        <v>97</v>
      </c>
      <c r="U50" s="268">
        <v>1848</v>
      </c>
      <c r="V50" s="268"/>
      <c r="W50" s="269">
        <v>10.0052</v>
      </c>
      <c r="X50" s="302">
        <v>10.1777</v>
      </c>
      <c r="Y50" s="302">
        <v>4.8859900999999999</v>
      </c>
      <c r="Z50" s="269">
        <v>5.2917098999999999</v>
      </c>
      <c r="AA50" s="302">
        <v>4.7134904999999998</v>
      </c>
      <c r="AB50" s="269">
        <v>128.66498999999999</v>
      </c>
    </row>
    <row r="51" spans="10:28">
      <c r="J51" s="268" t="s">
        <v>99</v>
      </c>
      <c r="K51" s="268">
        <v>1849</v>
      </c>
      <c r="L51" s="268"/>
      <c r="M51" s="269">
        <v>1.3313999999999999</v>
      </c>
      <c r="N51" s="302">
        <v>1.9220098999999999</v>
      </c>
      <c r="O51" s="302">
        <v>0.15213299999999999</v>
      </c>
      <c r="P51" s="269">
        <v>1.7698769000000001</v>
      </c>
      <c r="Q51" s="302">
        <v>-0.43847691</v>
      </c>
      <c r="R51" s="269">
        <v>2.6903600999999999</v>
      </c>
      <c r="S51" s="268"/>
      <c r="T51" s="268" t="s">
        <v>97</v>
      </c>
      <c r="U51" s="268">
        <v>1849</v>
      </c>
      <c r="V51" s="268"/>
      <c r="W51" s="269">
        <v>9.6988296999999992</v>
      </c>
      <c r="X51" s="302">
        <v>9.3585195999999993</v>
      </c>
      <c r="Y51" s="302">
        <v>4.8000002000000004</v>
      </c>
      <c r="Z51" s="269">
        <v>4.5585193999999998</v>
      </c>
      <c r="AA51" s="302">
        <v>5.1403103000000003</v>
      </c>
      <c r="AB51" s="269">
        <v>126.4</v>
      </c>
    </row>
    <row r="52" spans="10:28">
      <c r="J52" s="268" t="s">
        <v>99</v>
      </c>
      <c r="K52" s="268">
        <v>50</v>
      </c>
      <c r="L52" s="268"/>
      <c r="M52" s="269">
        <v>1.71868</v>
      </c>
      <c r="N52" s="302">
        <v>1.5586500000000001</v>
      </c>
      <c r="O52" s="302">
        <v>0.14907400000000001</v>
      </c>
      <c r="P52" s="269">
        <v>1.4095759999999999</v>
      </c>
      <c r="Q52" s="302">
        <v>0.30910400999999998</v>
      </c>
      <c r="R52" s="269">
        <v>2.5011000999999999</v>
      </c>
      <c r="S52" s="268"/>
      <c r="T52" s="268" t="s">
        <v>97</v>
      </c>
      <c r="U52" s="268">
        <v>50</v>
      </c>
      <c r="V52" s="268"/>
      <c r="W52" s="269">
        <v>10.668200000000001</v>
      </c>
      <c r="X52" s="302">
        <v>10.293799999999999</v>
      </c>
      <c r="Y52" s="302">
        <v>5.2447499999999998</v>
      </c>
      <c r="Z52" s="269">
        <v>5.0490503000000002</v>
      </c>
      <c r="AA52" s="302">
        <v>5.6191491999999998</v>
      </c>
      <c r="AB52" s="269">
        <v>138.11199999999999</v>
      </c>
    </row>
    <row r="53" spans="10:28">
      <c r="J53" s="268" t="s">
        <v>99</v>
      </c>
      <c r="K53" s="268">
        <v>1851</v>
      </c>
      <c r="L53" s="268"/>
      <c r="M53" s="269">
        <v>1.9394499999999999</v>
      </c>
      <c r="N53" s="302">
        <v>1.76048</v>
      </c>
      <c r="O53" s="302">
        <v>0.13642098999999999</v>
      </c>
      <c r="P53" s="269">
        <v>1.6240591</v>
      </c>
      <c r="Q53" s="302">
        <v>0.31539096999999999</v>
      </c>
      <c r="R53" s="269">
        <v>2.5204799000000002</v>
      </c>
      <c r="S53" s="268"/>
      <c r="T53" s="268" t="s">
        <v>97</v>
      </c>
      <c r="U53" s="268">
        <v>1851</v>
      </c>
      <c r="V53" s="268"/>
      <c r="W53" s="269">
        <v>9.9097500000000007</v>
      </c>
      <c r="X53" s="302">
        <v>9.5558300000000003</v>
      </c>
      <c r="Y53" s="302">
        <v>4.9916801</v>
      </c>
      <c r="Z53" s="269">
        <v>4.5641499000000003</v>
      </c>
      <c r="AA53" s="302">
        <v>5.3456001000000004</v>
      </c>
      <c r="AB53" s="269">
        <v>131.44800000000001</v>
      </c>
    </row>
    <row r="54" spans="10:28">
      <c r="J54" s="268" t="s">
        <v>99</v>
      </c>
      <c r="K54" s="268">
        <v>1852</v>
      </c>
      <c r="L54" s="268"/>
      <c r="M54" s="269">
        <v>1.67892</v>
      </c>
      <c r="N54" s="302">
        <v>1.4885499</v>
      </c>
      <c r="O54" s="302">
        <v>0.13472500000000001</v>
      </c>
      <c r="P54" s="269">
        <v>1.3538249</v>
      </c>
      <c r="Q54" s="302">
        <v>0.32509508999999998</v>
      </c>
      <c r="R54" s="269">
        <v>2.22967</v>
      </c>
      <c r="S54" s="268"/>
      <c r="T54" s="268" t="s">
        <v>97</v>
      </c>
      <c r="U54" s="268">
        <v>1852</v>
      </c>
      <c r="V54" s="268"/>
      <c r="W54" s="269">
        <v>9.9650402000000007</v>
      </c>
      <c r="X54" s="302">
        <v>9.6153898000000009</v>
      </c>
      <c r="Y54" s="302">
        <v>4.9423399000000003</v>
      </c>
      <c r="Z54" s="269">
        <v>4.6730498999999996</v>
      </c>
      <c r="AA54" s="302">
        <v>5.2919903000000001</v>
      </c>
      <c r="AB54" s="269">
        <v>130.14798999999999</v>
      </c>
    </row>
    <row r="55" spans="10:28">
      <c r="J55" s="268" t="s">
        <v>99</v>
      </c>
      <c r="K55" s="268">
        <v>1853</v>
      </c>
      <c r="L55" s="268"/>
      <c r="M55" s="269">
        <v>1.7950200000000001</v>
      </c>
      <c r="N55" s="302">
        <v>1.4043699999999999</v>
      </c>
      <c r="O55" s="302">
        <v>0.106849</v>
      </c>
      <c r="P55" s="269">
        <v>1.2975209999999999</v>
      </c>
      <c r="Q55" s="302">
        <v>0.49749903000000001</v>
      </c>
      <c r="R55" s="269">
        <v>1.74308</v>
      </c>
      <c r="S55" s="268"/>
      <c r="T55" s="268" t="s">
        <v>97</v>
      </c>
      <c r="U55" s="268">
        <v>1853</v>
      </c>
      <c r="V55" s="268"/>
      <c r="W55" s="269">
        <v>9.9291</v>
      </c>
      <c r="X55" s="302">
        <v>9.4242296000000003</v>
      </c>
      <c r="Y55" s="302">
        <v>4.4247798999999999</v>
      </c>
      <c r="Z55" s="269">
        <v>4.9994497000000004</v>
      </c>
      <c r="AA55" s="302">
        <v>4.9296502999999996</v>
      </c>
      <c r="AB55" s="269">
        <v>115.044</v>
      </c>
    </row>
    <row r="56" spans="10:28">
      <c r="J56" s="268" t="s">
        <v>99</v>
      </c>
      <c r="K56" s="268">
        <v>1854</v>
      </c>
      <c r="L56" s="268"/>
      <c r="M56" s="269">
        <v>1.90157</v>
      </c>
      <c r="N56" s="302">
        <v>1.4956199999999999</v>
      </c>
      <c r="O56" s="302">
        <v>7.9129000000000005E-2</v>
      </c>
      <c r="P56" s="269">
        <v>1.4164909999999999</v>
      </c>
      <c r="Q56" s="302">
        <v>0.48507895000000001</v>
      </c>
      <c r="R56" s="269">
        <v>1.0884799999999999</v>
      </c>
      <c r="S56" s="268"/>
      <c r="T56" s="268" t="s">
        <v>97</v>
      </c>
      <c r="U56" s="268">
        <v>1854</v>
      </c>
      <c r="V56" s="268"/>
      <c r="W56" s="269">
        <v>10.0154</v>
      </c>
      <c r="X56" s="302">
        <v>13.4077</v>
      </c>
      <c r="Y56" s="302">
        <v>4.1782699000000001</v>
      </c>
      <c r="Z56" s="269">
        <v>9.2294297000000007</v>
      </c>
      <c r="AA56" s="302">
        <v>0.78597021</v>
      </c>
      <c r="AB56" s="269">
        <v>107.242</v>
      </c>
    </row>
    <row r="57" spans="10:28">
      <c r="J57" s="268" t="s">
        <v>99</v>
      </c>
      <c r="K57" s="268">
        <v>1855</v>
      </c>
      <c r="L57" s="268"/>
      <c r="M57" s="269">
        <v>1.6152</v>
      </c>
      <c r="N57" s="302">
        <v>1.4765900000000001</v>
      </c>
      <c r="O57" s="302">
        <v>5.7192E-2</v>
      </c>
      <c r="P57" s="269">
        <v>1.4193979999999999</v>
      </c>
      <c r="Q57" s="302">
        <v>0.19580201</v>
      </c>
      <c r="R57" s="269">
        <v>0.87958502999999999</v>
      </c>
      <c r="S57" s="268"/>
      <c r="T57" s="268" t="s">
        <v>97</v>
      </c>
      <c r="U57" s="268">
        <v>1855</v>
      </c>
      <c r="V57" s="268"/>
      <c r="W57" s="269">
        <v>10.853999999999999</v>
      </c>
      <c r="X57" s="302">
        <v>14.420400000000001</v>
      </c>
      <c r="Y57" s="302">
        <v>4.0595397999999996</v>
      </c>
      <c r="Z57" s="269">
        <v>10.360860000000001</v>
      </c>
      <c r="AA57" s="302">
        <v>0.49314022000000002</v>
      </c>
      <c r="AB57" s="269">
        <v>105.548</v>
      </c>
    </row>
    <row r="58" spans="10:28">
      <c r="J58" s="268" t="s">
        <v>99</v>
      </c>
      <c r="K58" s="268">
        <v>1856</v>
      </c>
      <c r="L58" s="268"/>
      <c r="M58" s="269">
        <v>1.76494</v>
      </c>
      <c r="N58" s="302">
        <v>1.6580299999999999</v>
      </c>
      <c r="O58" s="302">
        <v>4.6567999999999998E-2</v>
      </c>
      <c r="P58" s="269">
        <v>1.611462</v>
      </c>
      <c r="Q58" s="302">
        <v>0.15347799000000001</v>
      </c>
      <c r="R58" s="269">
        <v>0.76201200000000002</v>
      </c>
      <c r="S58" s="268"/>
      <c r="T58" s="268" t="s">
        <v>97</v>
      </c>
      <c r="U58" s="268">
        <v>1856</v>
      </c>
      <c r="V58" s="268"/>
      <c r="W58" s="269">
        <v>10.7163</v>
      </c>
      <c r="X58" s="302">
        <v>11.3116</v>
      </c>
      <c r="Y58" s="302">
        <v>3.90117</v>
      </c>
      <c r="Z58" s="269">
        <v>7.4104296999999999</v>
      </c>
      <c r="AA58" s="302">
        <v>3.3058703</v>
      </c>
      <c r="AB58" s="269">
        <v>105.33199999999999</v>
      </c>
    </row>
    <row r="59" spans="10:28">
      <c r="J59" s="268" t="s">
        <v>99</v>
      </c>
      <c r="K59" s="268">
        <v>1857</v>
      </c>
      <c r="L59" s="268"/>
      <c r="M59" s="269">
        <v>1.59789</v>
      </c>
      <c r="N59" s="302">
        <v>1.57081</v>
      </c>
      <c r="O59" s="302">
        <v>3.8878999999999997E-2</v>
      </c>
      <c r="P59" s="269">
        <v>1.5319309999999999</v>
      </c>
      <c r="Q59" s="302">
        <v>6.595906E-2</v>
      </c>
      <c r="R59" s="269">
        <v>0.66499101999999999</v>
      </c>
      <c r="S59" s="268"/>
      <c r="T59" s="268" t="s">
        <v>97</v>
      </c>
      <c r="U59" s="268">
        <v>1857</v>
      </c>
      <c r="V59" s="268"/>
      <c r="W59" s="269">
        <v>10.031700000000001</v>
      </c>
      <c r="X59" s="302">
        <v>10.1814</v>
      </c>
      <c r="Y59" s="302">
        <v>3.8510900000000001</v>
      </c>
      <c r="Z59" s="269">
        <v>6.3303102999999998</v>
      </c>
      <c r="AA59" s="302">
        <v>3.7013897999999998</v>
      </c>
      <c r="AB59" s="269">
        <v>103.979</v>
      </c>
    </row>
    <row r="60" spans="10:28">
      <c r="J60" s="268" t="s">
        <v>99</v>
      </c>
      <c r="K60" s="268">
        <v>1858</v>
      </c>
      <c r="L60" s="268"/>
      <c r="M60" s="269">
        <v>1.1468799999999999</v>
      </c>
      <c r="N60" s="302">
        <v>1.82362</v>
      </c>
      <c r="O60" s="302">
        <v>3.8519999999999999E-2</v>
      </c>
      <c r="P60" s="269">
        <v>1.7850999999999999</v>
      </c>
      <c r="Q60" s="302">
        <v>-0.63821992999999999</v>
      </c>
      <c r="R60" s="269">
        <v>1.1040601000000001</v>
      </c>
      <c r="S60" s="268"/>
      <c r="T60" s="268" t="s">
        <v>97</v>
      </c>
      <c r="U60" s="268">
        <v>1858</v>
      </c>
      <c r="V60" s="268"/>
      <c r="W60" s="269">
        <v>9.8930501999999994</v>
      </c>
      <c r="X60" s="302">
        <v>10.047599999999999</v>
      </c>
      <c r="Y60" s="302">
        <v>3.9893600999999999</v>
      </c>
      <c r="Z60" s="269">
        <v>6.0582396999999997</v>
      </c>
      <c r="AA60" s="302">
        <v>3.8348105000000001</v>
      </c>
      <c r="AB60" s="269">
        <v>107.71299999999999</v>
      </c>
    </row>
    <row r="61" spans="10:28">
      <c r="J61" s="268" t="s">
        <v>99</v>
      </c>
      <c r="K61" s="268">
        <v>1859</v>
      </c>
      <c r="L61" s="268"/>
      <c r="M61" s="269">
        <v>1.24763</v>
      </c>
      <c r="N61" s="302">
        <v>1.6111701</v>
      </c>
      <c r="O61" s="302">
        <v>6.1534999999999999E-2</v>
      </c>
      <c r="P61" s="269">
        <v>1.5496350999999999</v>
      </c>
      <c r="Q61" s="302">
        <v>-0.30200505</v>
      </c>
      <c r="R61" s="269">
        <v>1.3645400000000001</v>
      </c>
      <c r="S61" s="268"/>
      <c r="T61" s="268" t="s">
        <v>97</v>
      </c>
      <c r="U61" s="268">
        <v>1859</v>
      </c>
      <c r="V61" s="268"/>
      <c r="W61" s="269">
        <v>10.176600000000001</v>
      </c>
      <c r="X61" s="302">
        <v>10.176600000000001</v>
      </c>
      <c r="Y61" s="302">
        <v>3.7783400999999999</v>
      </c>
      <c r="Z61" s="269">
        <v>6.3982603999999998</v>
      </c>
      <c r="AA61" s="302">
        <v>3.7783400999999999</v>
      </c>
      <c r="AB61" s="269">
        <v>102.015</v>
      </c>
    </row>
    <row r="62" spans="10:28">
      <c r="J62" s="268" t="s">
        <v>99</v>
      </c>
      <c r="K62" s="268">
        <v>60</v>
      </c>
      <c r="L62" s="268"/>
      <c r="M62" s="269">
        <v>1.2500599999999999</v>
      </c>
      <c r="N62" s="302">
        <v>1.4076</v>
      </c>
      <c r="O62" s="302">
        <v>7.0835999999999996E-2</v>
      </c>
      <c r="P62" s="269">
        <v>1.3367640000000001</v>
      </c>
      <c r="Q62" s="302">
        <v>-8.6704080000000003E-2</v>
      </c>
      <c r="R62" s="269">
        <v>1.4457998999999999</v>
      </c>
      <c r="S62" s="268"/>
      <c r="T62" s="268" t="s">
        <v>97</v>
      </c>
      <c r="U62" s="268">
        <v>60</v>
      </c>
      <c r="V62" s="268"/>
      <c r="W62" s="269">
        <v>10.031000000000001</v>
      </c>
      <c r="X62" s="302">
        <v>10.460900000000001</v>
      </c>
      <c r="Y62" s="302">
        <v>3.6945801</v>
      </c>
      <c r="Z62" s="269">
        <v>6.7663202</v>
      </c>
      <c r="AA62" s="302">
        <v>3.2646799</v>
      </c>
      <c r="AB62" s="269">
        <v>99.753699999999995</v>
      </c>
    </row>
    <row r="63" spans="10:28">
      <c r="J63" s="268" t="s">
        <v>99</v>
      </c>
      <c r="K63" s="268">
        <v>1861</v>
      </c>
      <c r="L63" s="268"/>
      <c r="M63" s="269">
        <v>0.88867496999999995</v>
      </c>
      <c r="N63" s="302">
        <v>1.4246799999999999</v>
      </c>
      <c r="O63" s="302">
        <v>8.5635000000000003E-2</v>
      </c>
      <c r="P63" s="269">
        <v>1.339045</v>
      </c>
      <c r="Q63" s="302">
        <v>-0.45037001999999998</v>
      </c>
      <c r="R63" s="269">
        <v>1.9392400000000001</v>
      </c>
      <c r="S63" s="268"/>
      <c r="T63" s="268" t="s">
        <v>97</v>
      </c>
      <c r="U63" s="268">
        <v>1861</v>
      </c>
      <c r="V63" s="268"/>
      <c r="W63" s="269">
        <v>9.2896996000000005</v>
      </c>
      <c r="X63" s="302">
        <v>9.6935997</v>
      </c>
      <c r="Y63" s="302">
        <v>3.5419098999999998</v>
      </c>
      <c r="Z63" s="269">
        <v>6.1516897999999998</v>
      </c>
      <c r="AA63" s="302">
        <v>3.1380097999999998</v>
      </c>
      <c r="AB63" s="269">
        <v>95.631598999999994</v>
      </c>
    </row>
    <row r="64" spans="10:28">
      <c r="J64" s="268" t="s">
        <v>99</v>
      </c>
      <c r="K64" s="268">
        <v>1862</v>
      </c>
      <c r="L64" s="268"/>
      <c r="M64" s="269">
        <v>0.94350301999999997</v>
      </c>
      <c r="N64" s="302">
        <v>8.6163702000000004</v>
      </c>
      <c r="O64" s="302">
        <v>0.23938300000000001</v>
      </c>
      <c r="P64" s="269">
        <v>8.3769872000000003</v>
      </c>
      <c r="Q64" s="302">
        <v>-7.4334841999999997</v>
      </c>
      <c r="R64" s="269">
        <v>9.5132103000000008</v>
      </c>
      <c r="S64" s="268"/>
      <c r="T64" s="268" t="s">
        <v>97</v>
      </c>
      <c r="U64" s="268">
        <v>1862</v>
      </c>
      <c r="V64" s="268"/>
      <c r="W64" s="269">
        <v>9.1422395999999999</v>
      </c>
      <c r="X64" s="302">
        <v>9.2747402000000001</v>
      </c>
      <c r="Y64" s="302">
        <v>3.4883698999999999</v>
      </c>
      <c r="Z64" s="269">
        <v>5.7863702999999997</v>
      </c>
      <c r="AA64" s="302">
        <v>3.3558693000000002</v>
      </c>
      <c r="AB64" s="269">
        <v>93.023201</v>
      </c>
    </row>
    <row r="65" spans="10:28">
      <c r="J65" s="268" t="s">
        <v>99</v>
      </c>
      <c r="K65" s="268">
        <v>1863</v>
      </c>
      <c r="L65" s="268"/>
      <c r="M65" s="269">
        <v>1.5351699999999999</v>
      </c>
      <c r="N65" s="302">
        <v>9.7362900000000003</v>
      </c>
      <c r="O65" s="302">
        <v>0.33687498999999999</v>
      </c>
      <c r="P65" s="269">
        <v>9.3994149999999994</v>
      </c>
      <c r="Q65" s="302">
        <v>-7.8642450000000004</v>
      </c>
      <c r="R65" s="269">
        <v>15.2537</v>
      </c>
      <c r="S65" s="268"/>
      <c r="T65" s="268" t="s">
        <v>97</v>
      </c>
      <c r="U65" s="268">
        <v>1863</v>
      </c>
      <c r="V65" s="268"/>
      <c r="W65" s="269">
        <v>8.5355501</v>
      </c>
      <c r="X65" s="302">
        <v>8.5355501</v>
      </c>
      <c r="Y65" s="302">
        <v>3.3482101000000002</v>
      </c>
      <c r="Z65" s="269">
        <v>5.1873399999999998</v>
      </c>
      <c r="AA65" s="302">
        <v>3.3482101000000002</v>
      </c>
      <c r="AB65" s="269">
        <v>89.285697999999996</v>
      </c>
    </row>
    <row r="66" spans="10:28">
      <c r="J66" s="268" t="s">
        <v>99</v>
      </c>
      <c r="K66" s="268">
        <v>1864</v>
      </c>
      <c r="L66" s="268"/>
      <c r="M66" s="269">
        <v>2.7773599999999998</v>
      </c>
      <c r="N66" s="302">
        <v>9.0818995999999999</v>
      </c>
      <c r="O66" s="302">
        <v>0.56344497000000004</v>
      </c>
      <c r="P66" s="269">
        <v>8.5184546999999995</v>
      </c>
      <c r="Q66" s="302">
        <v>-5.7410946999999997</v>
      </c>
      <c r="R66" s="269">
        <v>19.0578</v>
      </c>
      <c r="S66" s="268"/>
      <c r="T66" s="268" t="s">
        <v>97</v>
      </c>
      <c r="U66" s="268">
        <v>1864</v>
      </c>
      <c r="V66" s="268"/>
      <c r="W66" s="269">
        <v>8.2673903000000006</v>
      </c>
      <c r="X66" s="302">
        <v>8.0277499999999993</v>
      </c>
      <c r="Y66" s="302">
        <v>3.1745999</v>
      </c>
      <c r="Z66" s="269">
        <v>4.8531500999999997</v>
      </c>
      <c r="AA66" s="302">
        <v>3.4142400999999998</v>
      </c>
      <c r="AB66" s="269">
        <v>83.597899999999996</v>
      </c>
    </row>
    <row r="67" spans="10:28">
      <c r="J67" s="268" t="s">
        <v>99</v>
      </c>
      <c r="K67" s="268">
        <v>1865</v>
      </c>
      <c r="L67" s="268"/>
      <c r="M67" s="269">
        <v>3.5456300000000001</v>
      </c>
      <c r="N67" s="302">
        <v>13.786199999999999</v>
      </c>
      <c r="O67" s="302">
        <v>0.82233297999999999</v>
      </c>
      <c r="P67" s="269">
        <v>12.963867</v>
      </c>
      <c r="Q67" s="302">
        <v>-9.4182366000000002</v>
      </c>
      <c r="R67" s="269">
        <v>28.452299</v>
      </c>
      <c r="S67" s="268"/>
      <c r="T67" s="268" t="s">
        <v>97</v>
      </c>
      <c r="U67" s="268">
        <v>1865</v>
      </c>
      <c r="V67" s="268"/>
      <c r="W67" s="269">
        <v>7.5988898000000002</v>
      </c>
      <c r="X67" s="302">
        <v>7.5988898000000002</v>
      </c>
      <c r="Y67" s="302">
        <v>3.0769199999999999</v>
      </c>
      <c r="Z67" s="269">
        <v>4.5219697999999999</v>
      </c>
      <c r="AA67" s="302">
        <v>3.0769199999999999</v>
      </c>
      <c r="AB67" s="269">
        <v>81.025597000000005</v>
      </c>
    </row>
    <row r="68" spans="10:28">
      <c r="J68" s="268" t="s">
        <v>99</v>
      </c>
      <c r="K68" s="268">
        <v>1866</v>
      </c>
      <c r="L68" s="268"/>
      <c r="M68" s="269">
        <v>6.0967202</v>
      </c>
      <c r="N68" s="302">
        <v>5.6900401</v>
      </c>
      <c r="O68" s="302">
        <v>1.4538199999999999</v>
      </c>
      <c r="P68" s="269">
        <v>4.2362200999999997</v>
      </c>
      <c r="Q68" s="302">
        <v>1.8605001000000001</v>
      </c>
      <c r="R68" s="269">
        <v>30.107800000000001</v>
      </c>
      <c r="S68" s="268"/>
      <c r="T68" s="268" t="s">
        <v>97</v>
      </c>
      <c r="U68" s="268">
        <v>1866</v>
      </c>
      <c r="V68" s="268"/>
      <c r="W68" s="269">
        <v>7.5597900999999998</v>
      </c>
      <c r="X68" s="302">
        <v>7.4486097999999998</v>
      </c>
      <c r="Y68" s="302">
        <v>2.9411800000000001</v>
      </c>
      <c r="Z68" s="269">
        <v>4.5074297999999997</v>
      </c>
      <c r="AA68" s="302">
        <v>3.0523603000000001</v>
      </c>
      <c r="AB68" s="269">
        <v>76.470596</v>
      </c>
    </row>
    <row r="69" spans="10:28">
      <c r="J69" s="268" t="s">
        <v>99</v>
      </c>
      <c r="K69" s="268">
        <v>1867</v>
      </c>
      <c r="L69" s="268"/>
      <c r="M69" s="269">
        <v>5.5345101000000003</v>
      </c>
      <c r="N69" s="302">
        <v>4.0331998000000002</v>
      </c>
      <c r="O69" s="302">
        <v>1.62191</v>
      </c>
      <c r="P69" s="269">
        <v>2.4112898</v>
      </c>
      <c r="Q69" s="302">
        <v>3.1232202999999998</v>
      </c>
      <c r="R69" s="269">
        <v>29.894698999999999</v>
      </c>
      <c r="S69" s="268"/>
      <c r="T69" s="268" t="s">
        <v>97</v>
      </c>
      <c r="U69" s="268">
        <v>1867</v>
      </c>
      <c r="V69" s="268"/>
      <c r="W69" s="269">
        <v>7.6618298999999999</v>
      </c>
      <c r="X69" s="302">
        <v>8.1125298000000008</v>
      </c>
      <c r="Y69" s="302">
        <v>2.9940099999999998</v>
      </c>
      <c r="Z69" s="269">
        <v>5.1185197999999996</v>
      </c>
      <c r="AA69" s="302">
        <v>2.5433102000000001</v>
      </c>
      <c r="AB69" s="269">
        <v>77.844299000000007</v>
      </c>
    </row>
    <row r="70" spans="10:28">
      <c r="J70" s="268" t="s">
        <v>99</v>
      </c>
      <c r="K70" s="268">
        <v>1868</v>
      </c>
      <c r="L70" s="268"/>
      <c r="M70" s="269">
        <v>4.6732502</v>
      </c>
      <c r="N70" s="302">
        <v>4.3472400000000002</v>
      </c>
      <c r="O70" s="302">
        <v>1.6177900000000001</v>
      </c>
      <c r="P70" s="269">
        <v>2.7294499999999999</v>
      </c>
      <c r="Q70" s="302">
        <v>1.9438002000000001</v>
      </c>
      <c r="R70" s="269">
        <v>29.763200999999999</v>
      </c>
      <c r="S70" s="268"/>
      <c r="T70" s="268" t="s">
        <v>97</v>
      </c>
      <c r="U70" s="268">
        <v>1868</v>
      </c>
      <c r="V70" s="268"/>
      <c r="W70" s="269">
        <v>8.0088595999999992</v>
      </c>
      <c r="X70" s="302">
        <v>8.4600697</v>
      </c>
      <c r="Y70" s="302">
        <v>2.9969999999999999</v>
      </c>
      <c r="Z70" s="269">
        <v>5.4630697000000001</v>
      </c>
      <c r="AA70" s="302">
        <v>2.5457900000000002</v>
      </c>
      <c r="AB70" s="269">
        <v>74.925101999999995</v>
      </c>
    </row>
    <row r="71" spans="10:28">
      <c r="J71" s="268" t="s">
        <v>99</v>
      </c>
      <c r="K71" s="268">
        <v>1869</v>
      </c>
      <c r="L71" s="268"/>
      <c r="M71" s="269">
        <v>4.3178200999999996</v>
      </c>
      <c r="N71" s="302">
        <v>3.7581799</v>
      </c>
      <c r="O71" s="302">
        <v>1.5212899</v>
      </c>
      <c r="P71" s="269">
        <v>2.2368899999999998</v>
      </c>
      <c r="Q71" s="302">
        <v>2.0809300999999998</v>
      </c>
      <c r="R71" s="269">
        <v>29.625298999999998</v>
      </c>
      <c r="S71" s="268"/>
      <c r="T71" s="268" t="s">
        <v>97</v>
      </c>
      <c r="U71" s="268">
        <v>1869</v>
      </c>
      <c r="V71" s="268"/>
      <c r="W71" s="269">
        <v>8.1904696999999995</v>
      </c>
      <c r="X71" s="302">
        <v>7.4156899000000003</v>
      </c>
      <c r="Y71" s="302">
        <v>2.98211</v>
      </c>
      <c r="Z71" s="269">
        <v>4.4335798999999998</v>
      </c>
      <c r="AA71" s="302">
        <v>3.7568898000000002</v>
      </c>
      <c r="AB71" s="269">
        <v>74.552695999999997</v>
      </c>
    </row>
    <row r="72" spans="10:28">
      <c r="J72" s="268" t="s">
        <v>99</v>
      </c>
      <c r="K72" s="268">
        <v>70</v>
      </c>
      <c r="L72" s="268"/>
      <c r="M72" s="269">
        <v>5.0442200000000001</v>
      </c>
      <c r="N72" s="302">
        <v>3.7980399</v>
      </c>
      <c r="O72" s="302">
        <v>1.5851200000000001</v>
      </c>
      <c r="P72" s="269">
        <v>2.21292</v>
      </c>
      <c r="Q72" s="302">
        <v>2.8313000000000001</v>
      </c>
      <c r="R72" s="269">
        <v>29.8841</v>
      </c>
      <c r="S72" s="268"/>
      <c r="T72" s="268" t="s">
        <v>97</v>
      </c>
      <c r="U72" s="268">
        <v>70</v>
      </c>
      <c r="V72" s="268"/>
      <c r="W72" s="269">
        <v>7.0292801999999996</v>
      </c>
      <c r="X72" s="302">
        <v>7.0292801999999996</v>
      </c>
      <c r="Y72" s="302">
        <v>2.81955</v>
      </c>
      <c r="Z72" s="269">
        <v>4.2097300999999998</v>
      </c>
      <c r="AA72" s="302">
        <v>2.81955</v>
      </c>
      <c r="AB72" s="269">
        <v>70.488701000000006</v>
      </c>
    </row>
    <row r="73" spans="10:28">
      <c r="J73" s="268" t="s">
        <v>99</v>
      </c>
      <c r="K73" s="268">
        <v>1871</v>
      </c>
      <c r="L73" s="268"/>
      <c r="M73" s="269">
        <v>4.7766199</v>
      </c>
      <c r="N73" s="302">
        <v>3.6408401000000001</v>
      </c>
      <c r="O73" s="302">
        <v>1.5648200999999999</v>
      </c>
      <c r="P73" s="269">
        <v>2.0760200000000002</v>
      </c>
      <c r="Q73" s="302">
        <v>2.7005998999999998</v>
      </c>
      <c r="R73" s="269">
        <v>28.935199999999998</v>
      </c>
      <c r="S73" s="268"/>
      <c r="T73" s="268" t="s">
        <v>97</v>
      </c>
      <c r="U73" s="268">
        <v>1871</v>
      </c>
      <c r="V73" s="268"/>
      <c r="W73" s="269">
        <v>7.0923400000000001</v>
      </c>
      <c r="X73" s="302">
        <v>6.8008800000000003</v>
      </c>
      <c r="Y73" s="302">
        <v>2.6086999999999998</v>
      </c>
      <c r="Z73" s="269">
        <v>4.1921799000000002</v>
      </c>
      <c r="AA73" s="302">
        <v>2.9001600999999999</v>
      </c>
      <c r="AB73" s="269">
        <v>64.347801000000004</v>
      </c>
    </row>
    <row r="74" spans="10:28">
      <c r="J74" s="268" t="s">
        <v>99</v>
      </c>
      <c r="K74" s="268">
        <v>1872</v>
      </c>
      <c r="L74" s="268"/>
      <c r="M74" s="269">
        <v>3.9977200000000002</v>
      </c>
      <c r="N74" s="302">
        <v>2.96557</v>
      </c>
      <c r="O74" s="302">
        <v>1.2540899999999999</v>
      </c>
      <c r="P74" s="269">
        <v>1.7114799999999999</v>
      </c>
      <c r="Q74" s="302">
        <v>2.2862399999999998</v>
      </c>
      <c r="R74" s="269">
        <v>23.616099999999999</v>
      </c>
      <c r="S74" s="268"/>
      <c r="T74" s="268" t="s">
        <v>97</v>
      </c>
      <c r="U74" s="268">
        <v>1872</v>
      </c>
      <c r="V74" s="268"/>
      <c r="W74" s="269">
        <v>6.8607702000000002</v>
      </c>
      <c r="X74" s="302">
        <v>6.3119000999999999</v>
      </c>
      <c r="Y74" s="302">
        <v>2.4590198999999999</v>
      </c>
      <c r="Z74" s="269">
        <v>3.8528802</v>
      </c>
      <c r="AA74" s="302">
        <v>3.0078900000000002</v>
      </c>
      <c r="AB74" s="269">
        <v>60.655701000000001</v>
      </c>
    </row>
    <row r="75" spans="10:28">
      <c r="J75" s="268" t="s">
        <v>99</v>
      </c>
      <c r="K75" s="268">
        <v>1873</v>
      </c>
      <c r="L75" s="268"/>
      <c r="M75" s="269">
        <v>3.5885799</v>
      </c>
      <c r="N75" s="302">
        <v>3.1219899999999998</v>
      </c>
      <c r="O75" s="302">
        <v>1.1263601000000001</v>
      </c>
      <c r="P75" s="269">
        <v>1.9956299</v>
      </c>
      <c r="Q75" s="302">
        <v>1.5929500000000001</v>
      </c>
      <c r="R75" s="269">
        <v>23.1313</v>
      </c>
      <c r="S75" s="268"/>
      <c r="T75" s="268" t="s">
        <v>97</v>
      </c>
      <c r="U75" s="268">
        <v>1873</v>
      </c>
      <c r="V75" s="268"/>
      <c r="W75" s="269">
        <v>6.3343501</v>
      </c>
      <c r="X75" s="302">
        <v>6.3343501</v>
      </c>
      <c r="Y75" s="302">
        <v>2.34375</v>
      </c>
      <c r="Z75" s="269">
        <v>3.9906001</v>
      </c>
      <c r="AA75" s="302">
        <v>2.34375</v>
      </c>
      <c r="AB75" s="269">
        <v>57.031300000000002</v>
      </c>
    </row>
    <row r="76" spans="10:28">
      <c r="J76" s="268" t="s">
        <v>99</v>
      </c>
      <c r="K76" s="268">
        <v>1874</v>
      </c>
      <c r="L76" s="268"/>
      <c r="M76" s="269">
        <v>3.5278100999999999</v>
      </c>
      <c r="N76" s="302">
        <v>3.50068</v>
      </c>
      <c r="O76" s="302">
        <v>1.2391000000000001</v>
      </c>
      <c r="P76" s="269">
        <v>2.2615799999999999</v>
      </c>
      <c r="Q76" s="302">
        <v>1.2662301</v>
      </c>
      <c r="R76" s="269">
        <v>24.9848</v>
      </c>
      <c r="S76" s="268"/>
      <c r="T76" s="268" t="s">
        <v>97</v>
      </c>
      <c r="U76" s="268">
        <v>1874</v>
      </c>
      <c r="V76" s="268"/>
      <c r="W76" s="269">
        <v>6.4120898000000004</v>
      </c>
      <c r="X76" s="302">
        <v>6.3254399000000001</v>
      </c>
      <c r="Y76" s="302">
        <v>2.3584900000000002</v>
      </c>
      <c r="Z76" s="269">
        <v>3.9669498999999999</v>
      </c>
      <c r="AA76" s="302">
        <v>2.4451399</v>
      </c>
      <c r="AB76" s="269">
        <v>57.389899999999997</v>
      </c>
    </row>
    <row r="77" spans="10:28">
      <c r="J77" s="268" t="s">
        <v>99</v>
      </c>
      <c r="K77" s="268">
        <v>1875</v>
      </c>
      <c r="L77" s="268"/>
      <c r="M77" s="269">
        <v>3.4014399000000002</v>
      </c>
      <c r="N77" s="302">
        <v>3.2434498999999999</v>
      </c>
      <c r="O77" s="302">
        <v>1.2176</v>
      </c>
      <c r="P77" s="269">
        <v>2.0258498999999999</v>
      </c>
      <c r="Q77" s="302">
        <v>1.3755900000000001</v>
      </c>
      <c r="R77" s="269">
        <v>25.466801</v>
      </c>
      <c r="S77" s="268"/>
      <c r="T77" s="268" t="s">
        <v>97</v>
      </c>
      <c r="U77" s="268">
        <v>1875</v>
      </c>
      <c r="V77" s="268"/>
      <c r="W77" s="269">
        <v>6.6306601000000001</v>
      </c>
      <c r="X77" s="302">
        <v>6.6306601000000001</v>
      </c>
      <c r="Y77" s="302">
        <v>3.2128500999999998</v>
      </c>
      <c r="Z77" s="269">
        <v>3.4178099999999998</v>
      </c>
      <c r="AA77" s="302">
        <v>3.2128500999999998</v>
      </c>
      <c r="AB77" s="269">
        <v>57.831299000000001</v>
      </c>
    </row>
    <row r="78" spans="10:28">
      <c r="J78" s="268" t="s">
        <v>99</v>
      </c>
      <c r="K78" s="268">
        <v>1876</v>
      </c>
      <c r="L78" s="268"/>
      <c r="M78" s="269">
        <v>3.3874198999999998</v>
      </c>
      <c r="N78" s="302">
        <v>3.0534599</v>
      </c>
      <c r="O78" s="302">
        <v>1.1546099999999999</v>
      </c>
      <c r="P78" s="269">
        <v>1.8988498</v>
      </c>
      <c r="Q78" s="302">
        <v>1.4885701</v>
      </c>
      <c r="R78" s="269">
        <v>24.543301</v>
      </c>
      <c r="S78" s="268"/>
      <c r="T78" s="268" t="s">
        <v>97</v>
      </c>
      <c r="U78" s="268">
        <v>1876</v>
      </c>
      <c r="V78" s="268"/>
      <c r="W78" s="269">
        <v>6.9485302000000004</v>
      </c>
      <c r="X78" s="302">
        <v>6.8582901999999999</v>
      </c>
      <c r="Y78" s="302">
        <v>3.2546799000000002</v>
      </c>
      <c r="Z78" s="269">
        <v>3.6036103000000002</v>
      </c>
      <c r="AA78" s="302">
        <v>3.3449198999999998</v>
      </c>
      <c r="AB78" s="269">
        <v>59.3979</v>
      </c>
    </row>
    <row r="79" spans="10:28">
      <c r="J79" s="268" t="s">
        <v>99</v>
      </c>
      <c r="K79" s="268">
        <v>1877</v>
      </c>
      <c r="L79" s="268"/>
      <c r="M79" s="269">
        <v>3.0634201000000001</v>
      </c>
      <c r="N79" s="302">
        <v>2.6271901</v>
      </c>
      <c r="O79" s="302">
        <v>1.05731</v>
      </c>
      <c r="P79" s="269">
        <v>1.5698801</v>
      </c>
      <c r="Q79" s="302">
        <v>1.4935399</v>
      </c>
      <c r="R79" s="269">
        <v>22.945399999999999</v>
      </c>
      <c r="S79" s="268"/>
      <c r="T79" s="268" t="s">
        <v>97</v>
      </c>
      <c r="U79" s="268">
        <v>1877</v>
      </c>
      <c r="V79" s="268"/>
      <c r="W79" s="269">
        <v>7.0642300000000002</v>
      </c>
      <c r="X79" s="302">
        <v>7.2453699</v>
      </c>
      <c r="Y79" s="302">
        <v>3.2894700000000001</v>
      </c>
      <c r="Z79" s="269">
        <v>3.9559000000000002</v>
      </c>
      <c r="AA79" s="302">
        <v>3.10833</v>
      </c>
      <c r="AB79" s="269">
        <v>60.032902</v>
      </c>
    </row>
    <row r="80" spans="10:28">
      <c r="J80" s="268" t="s">
        <v>99</v>
      </c>
      <c r="K80" s="268">
        <v>1878</v>
      </c>
      <c r="L80" s="268"/>
      <c r="M80" s="269">
        <v>2.8428800000000001</v>
      </c>
      <c r="N80" s="302">
        <v>2.6134800999999999</v>
      </c>
      <c r="O80" s="302">
        <v>1.1304801</v>
      </c>
      <c r="P80" s="269">
        <v>1.4830000000000001</v>
      </c>
      <c r="Q80" s="302">
        <v>1.35988</v>
      </c>
      <c r="R80" s="269">
        <v>23.816199999999998</v>
      </c>
      <c r="S80" s="268"/>
      <c r="T80" s="268" t="s">
        <v>97</v>
      </c>
      <c r="U80" s="268">
        <v>1878</v>
      </c>
      <c r="V80" s="268"/>
      <c r="W80" s="269">
        <v>7.4710302000000004</v>
      </c>
      <c r="X80" s="302">
        <v>7.6554998999999997</v>
      </c>
      <c r="Y80" s="302">
        <v>3.3783801000000002</v>
      </c>
      <c r="Z80" s="269">
        <v>4.2771198999999998</v>
      </c>
      <c r="AA80" s="302">
        <v>3.1939104</v>
      </c>
      <c r="AB80" s="269">
        <v>61.655399000000003</v>
      </c>
    </row>
    <row r="81" spans="10:28">
      <c r="J81" s="268" t="s">
        <v>99</v>
      </c>
      <c r="K81" s="268">
        <v>1879</v>
      </c>
      <c r="L81" s="268"/>
      <c r="M81" s="269">
        <v>2.8279098999999999</v>
      </c>
      <c r="N81" s="302">
        <v>2.7568700000000002</v>
      </c>
      <c r="O81" s="302">
        <v>1.0877600000000001</v>
      </c>
      <c r="P81" s="269">
        <v>1.6691100999999999</v>
      </c>
      <c r="Q81" s="302">
        <v>1.1587999</v>
      </c>
      <c r="R81" s="269">
        <v>23.741699000000001</v>
      </c>
      <c r="S81" s="268"/>
      <c r="T81" s="268" t="s">
        <v>97</v>
      </c>
      <c r="U81" s="268">
        <v>1879</v>
      </c>
      <c r="V81" s="268"/>
      <c r="W81" s="269">
        <v>6.9772901999999997</v>
      </c>
      <c r="X81" s="302">
        <v>7.8375101000000003</v>
      </c>
      <c r="Y81" s="302">
        <v>3.5026299999999999</v>
      </c>
      <c r="Z81" s="269">
        <v>4.3348801000000003</v>
      </c>
      <c r="AA81" s="302">
        <v>2.6424099999999999</v>
      </c>
      <c r="AB81" s="269">
        <v>64.798598999999996</v>
      </c>
    </row>
    <row r="82" spans="10:28">
      <c r="J82" s="268" t="s">
        <v>99</v>
      </c>
      <c r="K82" s="268">
        <v>80</v>
      </c>
      <c r="L82" s="268"/>
      <c r="M82" s="269">
        <v>2.7928901000000002</v>
      </c>
      <c r="N82" s="302">
        <v>2.24119</v>
      </c>
      <c r="O82" s="302">
        <v>0.80185901999999998</v>
      </c>
      <c r="P82" s="269">
        <v>1.4393309000000001</v>
      </c>
      <c r="Q82" s="302">
        <v>1.3535591</v>
      </c>
      <c r="R82" s="269">
        <v>17.508900000000001</v>
      </c>
      <c r="S82" s="268"/>
      <c r="T82" s="268" t="s">
        <v>97</v>
      </c>
      <c r="U82" s="268">
        <v>80</v>
      </c>
      <c r="V82" s="268"/>
      <c r="W82" s="269">
        <v>6.3145699999999998</v>
      </c>
      <c r="X82" s="302">
        <v>6.2143401999999996</v>
      </c>
      <c r="Y82" s="302">
        <v>2.2513499000000001</v>
      </c>
      <c r="Z82" s="269">
        <v>3.9629903</v>
      </c>
      <c r="AA82" s="302">
        <v>2.3515796999999998</v>
      </c>
      <c r="AB82" s="269">
        <v>65.401199000000005</v>
      </c>
    </row>
    <row r="83" spans="10:28">
      <c r="J83" s="268" t="s">
        <v>99</v>
      </c>
      <c r="K83" s="268">
        <v>1881</v>
      </c>
      <c r="L83" s="268"/>
      <c r="M83" s="269">
        <v>3.0476600999999999</v>
      </c>
      <c r="N83" s="302">
        <v>2.2023399000000001</v>
      </c>
      <c r="O83" s="302">
        <v>0.69698399</v>
      </c>
      <c r="P83" s="269">
        <v>1.5053559000000001</v>
      </c>
      <c r="Q83" s="302">
        <v>1.5423042</v>
      </c>
      <c r="R83" s="269">
        <v>17.057699</v>
      </c>
      <c r="S83" s="268"/>
      <c r="T83" s="268" t="s">
        <v>97</v>
      </c>
      <c r="U83" s="268">
        <v>1881</v>
      </c>
      <c r="V83" s="268"/>
      <c r="W83" s="269">
        <v>6.8739800000000004</v>
      </c>
      <c r="X83" s="302">
        <v>6.8166900000000004</v>
      </c>
      <c r="Y83" s="302">
        <v>2.4058899999999999</v>
      </c>
      <c r="Z83" s="269">
        <v>4.4108000000000001</v>
      </c>
      <c r="AA83" s="302">
        <v>2.4631801000000002</v>
      </c>
      <c r="AB83" s="269">
        <v>64.360496999999995</v>
      </c>
    </row>
    <row r="84" spans="10:28">
      <c r="J84" s="268" t="s">
        <v>99</v>
      </c>
      <c r="K84" s="268">
        <v>1882</v>
      </c>
      <c r="L84" s="268"/>
      <c r="M84" s="269">
        <v>3.00108</v>
      </c>
      <c r="N84" s="302">
        <v>1.91865</v>
      </c>
      <c r="O84" s="302">
        <v>0.52861100000000005</v>
      </c>
      <c r="P84" s="269">
        <v>1.390039</v>
      </c>
      <c r="Q84" s="302">
        <v>1.6110409999999999</v>
      </c>
      <c r="R84" s="269">
        <v>13.8102</v>
      </c>
      <c r="S84" s="268"/>
      <c r="T84" s="268" t="s">
        <v>97</v>
      </c>
      <c r="U84" s="268">
        <v>1882</v>
      </c>
      <c r="V84" s="268"/>
      <c r="W84" s="269">
        <v>7.0257201</v>
      </c>
      <c r="X84" s="302">
        <v>7.0016097999999998</v>
      </c>
      <c r="Y84" s="302">
        <v>2.3713801000000001</v>
      </c>
      <c r="Z84" s="269">
        <v>4.6302297000000001</v>
      </c>
      <c r="AA84" s="302">
        <v>2.3954903999999999</v>
      </c>
      <c r="AB84" s="269">
        <v>61.547001000000002</v>
      </c>
    </row>
    <row r="85" spans="10:28">
      <c r="J85" s="268" t="s">
        <v>99</v>
      </c>
      <c r="K85" s="268">
        <v>1883</v>
      </c>
      <c r="L85" s="268"/>
      <c r="M85" s="269">
        <v>3.1847799000000001</v>
      </c>
      <c r="N85" s="302">
        <v>2.1222501</v>
      </c>
      <c r="O85" s="302">
        <v>0.47305301</v>
      </c>
      <c r="P85" s="269">
        <v>1.6491971000000001</v>
      </c>
      <c r="Q85" s="302">
        <v>1.5355828</v>
      </c>
      <c r="R85" s="269">
        <v>13.7691</v>
      </c>
      <c r="S85" s="268"/>
      <c r="T85" s="268" t="s">
        <v>97</v>
      </c>
      <c r="U85" s="268">
        <v>1883</v>
      </c>
      <c r="V85" s="268"/>
      <c r="W85" s="269">
        <v>6.5551300000000001</v>
      </c>
      <c r="X85" s="302">
        <v>6.4942998999999997</v>
      </c>
      <c r="Y85" s="302">
        <v>2.2129300000000001</v>
      </c>
      <c r="Z85" s="269">
        <v>4.2813698999999996</v>
      </c>
      <c r="AA85" s="302">
        <v>2.2737601000000001</v>
      </c>
      <c r="AB85" s="269">
        <v>61.496200999999999</v>
      </c>
    </row>
    <row r="86" spans="10:28">
      <c r="J86" s="268" t="s">
        <v>99</v>
      </c>
      <c r="K86" s="268">
        <v>1884</v>
      </c>
      <c r="L86" s="268"/>
      <c r="M86" s="269">
        <v>2.8506501000000002</v>
      </c>
      <c r="N86" s="302">
        <v>1.99678</v>
      </c>
      <c r="O86" s="302">
        <v>0.44640899000000001</v>
      </c>
      <c r="P86" s="269">
        <v>1.5503711</v>
      </c>
      <c r="Q86" s="302">
        <v>1.300279</v>
      </c>
      <c r="R86" s="269">
        <v>13.293900000000001</v>
      </c>
      <c r="S86" s="268"/>
      <c r="T86" s="268" t="s">
        <v>97</v>
      </c>
      <c r="U86" s="268">
        <v>1884</v>
      </c>
      <c r="V86" s="268"/>
      <c r="W86" s="269">
        <v>6.8376098000000001</v>
      </c>
      <c r="X86" s="302">
        <v>6.8764601000000001</v>
      </c>
      <c r="Y86" s="302">
        <v>2.2532999999999999</v>
      </c>
      <c r="Z86" s="269">
        <v>4.6231600999999998</v>
      </c>
      <c r="AA86" s="302">
        <v>2.2144496</v>
      </c>
      <c r="AB86" s="269">
        <v>56.050800000000002</v>
      </c>
    </row>
    <row r="87" spans="10:28">
      <c r="J87" s="268" t="s">
        <v>99</v>
      </c>
      <c r="K87" s="268">
        <v>1885</v>
      </c>
      <c r="L87" s="268"/>
      <c r="M87" s="269">
        <v>2.65625</v>
      </c>
      <c r="N87" s="302">
        <v>2.1354598999999999</v>
      </c>
      <c r="O87" s="302">
        <v>0.42168098999999998</v>
      </c>
      <c r="P87" s="269">
        <v>1.7137789000000001</v>
      </c>
      <c r="Q87" s="302">
        <v>0.94247108999999996</v>
      </c>
      <c r="R87" s="269">
        <v>12.953799999999999</v>
      </c>
      <c r="S87" s="268"/>
      <c r="T87" s="268" t="s">
        <v>97</v>
      </c>
      <c r="U87" s="268">
        <v>1885</v>
      </c>
      <c r="V87" s="268"/>
      <c r="W87" s="269">
        <v>7.2964200999999997</v>
      </c>
      <c r="X87" s="302">
        <v>7.5081401000000003</v>
      </c>
      <c r="Y87" s="302">
        <v>1.91368</v>
      </c>
      <c r="Z87" s="269">
        <v>5.5944601</v>
      </c>
      <c r="AA87" s="302">
        <v>1.7019599999999999</v>
      </c>
      <c r="AB87" s="269">
        <v>57.785998999999997</v>
      </c>
    </row>
    <row r="88" spans="10:28">
      <c r="J88" s="268" t="s">
        <v>99</v>
      </c>
      <c r="K88" s="268">
        <v>1886</v>
      </c>
      <c r="L88" s="268"/>
      <c r="M88" s="269">
        <v>2.5066299000000001</v>
      </c>
      <c r="N88" s="302">
        <v>1.80661</v>
      </c>
      <c r="O88" s="302">
        <v>0.37684399000000002</v>
      </c>
      <c r="P88" s="269">
        <v>1.4297660000000001</v>
      </c>
      <c r="Q88" s="302">
        <v>1.0768639</v>
      </c>
      <c r="R88" s="269">
        <v>11.590400000000001</v>
      </c>
      <c r="S88" s="268"/>
      <c r="T88" s="268" t="s">
        <v>97</v>
      </c>
      <c r="U88" s="268">
        <v>1886</v>
      </c>
      <c r="V88" s="268"/>
      <c r="W88" s="269">
        <v>7.3941397999999996</v>
      </c>
      <c r="X88" s="302">
        <v>7.3289900000000001</v>
      </c>
      <c r="Y88" s="302">
        <v>2.2801298999999999</v>
      </c>
      <c r="Z88" s="269">
        <v>5.0488600999999997</v>
      </c>
      <c r="AA88" s="302">
        <v>2.3452796999999999</v>
      </c>
      <c r="AB88" s="269">
        <v>57.482300000000002</v>
      </c>
    </row>
    <row r="89" spans="10:28">
      <c r="J89" s="268" t="s">
        <v>99</v>
      </c>
      <c r="K89" s="268">
        <v>1887</v>
      </c>
      <c r="L89" s="268"/>
      <c r="M89" s="269">
        <v>2.6839398999999999</v>
      </c>
      <c r="N89" s="302">
        <v>1.93621</v>
      </c>
      <c r="O89" s="302">
        <v>0.34500598999999998</v>
      </c>
      <c r="P89" s="269">
        <v>1.5912040000000001</v>
      </c>
      <c r="Q89" s="302">
        <v>1.0927359000000001</v>
      </c>
      <c r="R89" s="269">
        <v>10.590299999999999</v>
      </c>
      <c r="S89" s="268"/>
      <c r="T89" s="268" t="s">
        <v>97</v>
      </c>
      <c r="U89" s="268">
        <v>1887</v>
      </c>
      <c r="V89" s="268"/>
      <c r="W89" s="269">
        <v>7.1156902000000004</v>
      </c>
      <c r="X89" s="302">
        <v>6.87005</v>
      </c>
      <c r="Y89" s="302">
        <v>2.0206000999999998</v>
      </c>
      <c r="Z89" s="269">
        <v>4.8494498999999998</v>
      </c>
      <c r="AA89" s="302">
        <v>2.2662404</v>
      </c>
      <c r="AB89" s="269">
        <v>55.430401000000003</v>
      </c>
    </row>
    <row r="90" spans="10:28">
      <c r="J90" s="268" t="s">
        <v>99</v>
      </c>
      <c r="K90" s="268">
        <v>1888</v>
      </c>
      <c r="L90" s="268"/>
      <c r="M90" s="269">
        <v>2.7766700000000002</v>
      </c>
      <c r="N90" s="302">
        <v>1.96153</v>
      </c>
      <c r="O90" s="302">
        <v>0.32736701000000001</v>
      </c>
      <c r="P90" s="269">
        <v>1.634163</v>
      </c>
      <c r="Q90" s="302">
        <v>1.1425069999999999</v>
      </c>
      <c r="R90" s="269">
        <v>10.1371</v>
      </c>
      <c r="S90" s="268"/>
      <c r="T90" s="268" t="s">
        <v>97</v>
      </c>
      <c r="U90" s="268">
        <v>1888</v>
      </c>
      <c r="V90" s="268"/>
      <c r="W90" s="269">
        <v>7.0676097999999996</v>
      </c>
      <c r="X90" s="302">
        <v>6.8003100999999999</v>
      </c>
      <c r="Y90" s="302">
        <v>1.9732700999999999</v>
      </c>
      <c r="Z90" s="269">
        <v>4.8270400999999996</v>
      </c>
      <c r="AA90" s="302">
        <v>2.2405697</v>
      </c>
      <c r="AB90" s="269">
        <v>51.319302</v>
      </c>
    </row>
    <row r="91" spans="10:28">
      <c r="J91" s="268" t="s">
        <v>99</v>
      </c>
      <c r="K91" s="268">
        <v>1889</v>
      </c>
      <c r="L91" s="268"/>
      <c r="M91" s="269">
        <v>2.66032</v>
      </c>
      <c r="N91" s="302">
        <v>2.0571101000000001</v>
      </c>
      <c r="O91" s="302">
        <v>0.28181299999999998</v>
      </c>
      <c r="P91" s="269">
        <v>1.7752971</v>
      </c>
      <c r="Q91" s="302">
        <v>0.88502296999999996</v>
      </c>
      <c r="R91" s="269">
        <v>8.5880203000000002</v>
      </c>
      <c r="S91" s="268"/>
      <c r="T91" s="268" t="s">
        <v>97</v>
      </c>
      <c r="U91" s="268">
        <v>1889</v>
      </c>
      <c r="V91" s="268"/>
      <c r="W91" s="269">
        <v>7.1127801000000002</v>
      </c>
      <c r="X91" s="302">
        <v>6.8120298000000004</v>
      </c>
      <c r="Y91" s="302">
        <v>1.8421099999999999</v>
      </c>
      <c r="Z91" s="269">
        <v>4.9699198000000004</v>
      </c>
      <c r="AA91" s="302">
        <v>2.1428603000000002</v>
      </c>
      <c r="AB91" s="269">
        <v>47.148201</v>
      </c>
    </row>
    <row r="92" spans="10:28">
      <c r="J92" s="268" t="s">
        <v>99</v>
      </c>
      <c r="K92" s="268">
        <v>90</v>
      </c>
      <c r="L92" s="268"/>
      <c r="M92" s="269">
        <v>2.77738</v>
      </c>
      <c r="N92" s="302">
        <v>2.1914201000000002</v>
      </c>
      <c r="O92" s="302">
        <v>0.24873598999999999</v>
      </c>
      <c r="P92" s="269">
        <v>1.9426840999999999</v>
      </c>
      <c r="Q92" s="302">
        <v>0.83469590999999999</v>
      </c>
      <c r="R92" s="269">
        <v>7.7337398999999998</v>
      </c>
      <c r="S92" s="268"/>
      <c r="T92" s="268" t="s">
        <v>97</v>
      </c>
      <c r="U92" s="268">
        <v>90</v>
      </c>
      <c r="V92" s="268"/>
      <c r="W92" s="269">
        <v>7.02841</v>
      </c>
      <c r="X92" s="302">
        <v>6.8026198999999998</v>
      </c>
      <c r="Y92" s="302">
        <v>1.74071</v>
      </c>
      <c r="Z92" s="269">
        <v>5.0619098999999999</v>
      </c>
      <c r="AA92" s="302">
        <v>1.9664999999999999</v>
      </c>
      <c r="AB92" s="269">
        <v>45.903098999999997</v>
      </c>
    </row>
    <row r="93" spans="10:28">
      <c r="J93" s="268" t="s">
        <v>99</v>
      </c>
      <c r="K93" s="268">
        <v>1891</v>
      </c>
      <c r="L93" s="268"/>
      <c r="M93" s="269">
        <v>2.5232100000000002</v>
      </c>
      <c r="N93" s="302">
        <v>2.3507299000000001</v>
      </c>
      <c r="O93" s="302">
        <v>0.24130499</v>
      </c>
      <c r="P93" s="269">
        <v>2.1094249</v>
      </c>
      <c r="Q93" s="302">
        <v>0.41378510000000002</v>
      </c>
      <c r="R93" s="269">
        <v>6.4640598000000002</v>
      </c>
      <c r="S93" s="268"/>
      <c r="T93" s="268" t="s">
        <v>97</v>
      </c>
      <c r="U93" s="268">
        <v>1891</v>
      </c>
      <c r="V93" s="268"/>
      <c r="W93" s="269">
        <v>7.0478902000000003</v>
      </c>
      <c r="X93" s="302">
        <v>6.8620400000000004</v>
      </c>
      <c r="Y93" s="302">
        <v>1.69407</v>
      </c>
      <c r="Z93" s="269">
        <v>5.1679700999999998</v>
      </c>
      <c r="AA93" s="302">
        <v>1.8799201000000001</v>
      </c>
      <c r="AB93" s="269">
        <v>46.432898999999999</v>
      </c>
    </row>
    <row r="94" spans="10:28">
      <c r="J94" s="268" t="s">
        <v>99</v>
      </c>
      <c r="K94" s="268">
        <v>1892</v>
      </c>
      <c r="L94" s="268"/>
      <c r="M94" s="269">
        <v>2.2646500999999999</v>
      </c>
      <c r="N94" s="302">
        <v>2.20139</v>
      </c>
      <c r="O94" s="302">
        <v>0.14916099999999999</v>
      </c>
      <c r="P94" s="269">
        <v>2.0522290000000001</v>
      </c>
      <c r="Q94" s="302">
        <v>0.21242106999999999</v>
      </c>
      <c r="R94" s="269">
        <v>6.1776198999999998</v>
      </c>
      <c r="S94" s="268"/>
      <c r="T94" s="268" t="s">
        <v>97</v>
      </c>
      <c r="U94" s="268">
        <v>1892</v>
      </c>
      <c r="V94" s="268"/>
      <c r="W94" s="269">
        <v>7.0186801000000001</v>
      </c>
      <c r="X94" s="302">
        <v>6.8821801999999996</v>
      </c>
      <c r="Y94" s="302">
        <v>1.6882200000000001</v>
      </c>
      <c r="Z94" s="269">
        <v>5.1939602000000002</v>
      </c>
      <c r="AA94" s="302">
        <v>1.8247199000000001</v>
      </c>
      <c r="AB94" s="269">
        <v>47.474899000000001</v>
      </c>
    </row>
    <row r="95" spans="10:28">
      <c r="J95" s="268" t="s">
        <v>99</v>
      </c>
      <c r="K95" s="268">
        <v>1893</v>
      </c>
      <c r="L95" s="268"/>
      <c r="M95" s="269">
        <v>2.5377901</v>
      </c>
      <c r="N95" s="302">
        <v>2.5223800999999999</v>
      </c>
      <c r="O95" s="302">
        <v>0.17933299999999999</v>
      </c>
      <c r="P95" s="269">
        <v>2.3430471000000002</v>
      </c>
      <c r="Q95" s="302">
        <v>0.19474295</v>
      </c>
      <c r="R95" s="269">
        <v>6.3239597999999999</v>
      </c>
      <c r="S95" s="268"/>
      <c r="T95" s="268" t="s">
        <v>97</v>
      </c>
      <c r="U95" s="268">
        <v>1893</v>
      </c>
      <c r="V95" s="268"/>
      <c r="W95" s="269">
        <v>7.2512898000000003</v>
      </c>
      <c r="X95" s="302">
        <v>7.2586598000000002</v>
      </c>
      <c r="Y95" s="302">
        <v>1.7243900000000001</v>
      </c>
      <c r="Z95" s="269">
        <v>5.5342697999999997</v>
      </c>
      <c r="AA95" s="302">
        <v>1.71702</v>
      </c>
      <c r="AB95" s="269">
        <v>47.389198</v>
      </c>
    </row>
    <row r="96" spans="10:28">
      <c r="J96" s="268" t="s">
        <v>99</v>
      </c>
      <c r="K96" s="268">
        <v>1894</v>
      </c>
      <c r="L96" s="268"/>
      <c r="M96" s="269">
        <v>2.2488101</v>
      </c>
      <c r="N96" s="302">
        <v>2.6978300000000002</v>
      </c>
      <c r="O96" s="302">
        <v>0.20436799999999999</v>
      </c>
      <c r="P96" s="269">
        <v>2.4934620000000001</v>
      </c>
      <c r="Q96" s="302">
        <v>-0.24465191</v>
      </c>
      <c r="R96" s="269">
        <v>7.4645700000000001</v>
      </c>
      <c r="S96" s="268"/>
      <c r="T96" s="268" t="s">
        <v>97</v>
      </c>
      <c r="U96" s="268">
        <v>1894</v>
      </c>
      <c r="V96" s="268"/>
      <c r="W96" s="269">
        <v>7.0990200000000003</v>
      </c>
      <c r="X96" s="302">
        <v>7.0362600999999998</v>
      </c>
      <c r="Y96" s="302">
        <v>1.62483</v>
      </c>
      <c r="Z96" s="269">
        <v>5.4114300999999996</v>
      </c>
      <c r="AA96" s="302">
        <v>1.6875899000000001</v>
      </c>
      <c r="AB96" s="269">
        <v>44.115600999999998</v>
      </c>
    </row>
    <row r="97" spans="10:28">
      <c r="J97" s="268" t="s">
        <v>99</v>
      </c>
      <c r="K97" s="268">
        <v>1895</v>
      </c>
      <c r="L97" s="268"/>
      <c r="M97" s="269">
        <v>2.0982699</v>
      </c>
      <c r="N97" s="302">
        <v>2.3016000000000001</v>
      </c>
      <c r="O97" s="302">
        <v>0.20016800000000001</v>
      </c>
      <c r="P97" s="269">
        <v>2.101432</v>
      </c>
      <c r="Q97" s="302">
        <v>-3.1620400000000001E-3</v>
      </c>
      <c r="R97" s="269">
        <v>7.0878300999999997</v>
      </c>
      <c r="S97" s="268"/>
      <c r="T97" s="268" t="s">
        <v>97</v>
      </c>
      <c r="U97" s="268">
        <v>1895</v>
      </c>
      <c r="V97" s="268"/>
      <c r="W97" s="269">
        <v>7.6025</v>
      </c>
      <c r="X97" s="302">
        <v>7.3036798999999997</v>
      </c>
      <c r="Y97" s="302">
        <v>1.58443</v>
      </c>
      <c r="Z97" s="269">
        <v>5.7192499999999997</v>
      </c>
      <c r="AA97" s="302">
        <v>1.8832500000000001</v>
      </c>
      <c r="AB97" s="269">
        <v>43.110500000000002</v>
      </c>
    </row>
    <row r="98" spans="10:28">
      <c r="J98" s="268" t="s">
        <v>99</v>
      </c>
      <c r="K98" s="268">
        <v>1896</v>
      </c>
      <c r="L98" s="268"/>
      <c r="M98" s="269">
        <v>2.2109399000000001</v>
      </c>
      <c r="N98" s="302">
        <v>2.3027300999999998</v>
      </c>
      <c r="O98" s="302">
        <v>0.23136499999999999</v>
      </c>
      <c r="P98" s="269">
        <v>2.0713651</v>
      </c>
      <c r="Q98" s="302">
        <v>0.1395748</v>
      </c>
      <c r="R98" s="269">
        <v>7.9948300999999997</v>
      </c>
      <c r="S98" s="268"/>
      <c r="T98" s="268" t="s">
        <v>97</v>
      </c>
      <c r="U98" s="268">
        <v>1896</v>
      </c>
      <c r="V98" s="268"/>
      <c r="W98" s="269">
        <v>7.3881601999999997</v>
      </c>
      <c r="X98" s="302">
        <v>7.2171000999999997</v>
      </c>
      <c r="Y98" s="302">
        <v>1.5526298999999999</v>
      </c>
      <c r="Z98" s="269">
        <v>5.6644702000000002</v>
      </c>
      <c r="AA98" s="302">
        <v>1.7236899999999999</v>
      </c>
      <c r="AB98" s="269">
        <v>41.102901000000003</v>
      </c>
    </row>
    <row r="99" spans="10:28">
      <c r="J99" s="268" t="s">
        <v>99</v>
      </c>
      <c r="K99" s="268">
        <v>1897</v>
      </c>
      <c r="L99" s="268"/>
      <c r="M99" s="269">
        <v>2.18363</v>
      </c>
      <c r="N99" s="302">
        <v>2.2969998999999999</v>
      </c>
      <c r="O99" s="302">
        <v>0.237321</v>
      </c>
      <c r="P99" s="269">
        <v>2.0596789000000002</v>
      </c>
      <c r="Q99" s="302">
        <v>0.12395106</v>
      </c>
      <c r="R99" s="269">
        <v>7.7040601000000004</v>
      </c>
      <c r="S99" s="268"/>
      <c r="T99" s="268" t="s">
        <v>97</v>
      </c>
      <c r="U99" s="268">
        <v>1897</v>
      </c>
      <c r="V99" s="268"/>
      <c r="W99" s="269">
        <v>7.7091599000000004</v>
      </c>
      <c r="X99" s="302">
        <v>7.4568399999999997</v>
      </c>
      <c r="Y99" s="302">
        <v>1.56707</v>
      </c>
      <c r="Z99" s="269">
        <v>5.8897700000000004</v>
      </c>
      <c r="AA99" s="302">
        <v>1.8193897999999999</v>
      </c>
      <c r="AB99" s="269">
        <v>40.378601000000003</v>
      </c>
    </row>
    <row r="100" spans="10:28">
      <c r="J100" s="268" t="s">
        <v>99</v>
      </c>
      <c r="K100" s="268">
        <v>1898</v>
      </c>
      <c r="L100" s="268"/>
      <c r="M100" s="269">
        <v>2.4446398999999999</v>
      </c>
      <c r="N100" s="302">
        <v>2.6741199</v>
      </c>
      <c r="O100" s="302">
        <v>0.226689</v>
      </c>
      <c r="P100" s="269">
        <v>2.4474309999999999</v>
      </c>
      <c r="Q100" s="302">
        <v>-2.7910299999999999E-3</v>
      </c>
      <c r="R100" s="269">
        <v>7.4351200999999998</v>
      </c>
      <c r="S100" s="268"/>
      <c r="T100" s="268" t="s">
        <v>97</v>
      </c>
      <c r="U100" s="268">
        <v>1898</v>
      </c>
      <c r="V100" s="268"/>
      <c r="W100" s="269">
        <v>7.2957901999999999</v>
      </c>
      <c r="X100" s="302">
        <v>7.2834200999999998</v>
      </c>
      <c r="Y100" s="302">
        <v>1.4603999999999999</v>
      </c>
      <c r="Z100" s="269">
        <v>5.8230200999999999</v>
      </c>
      <c r="AA100" s="302">
        <v>1.4727701</v>
      </c>
      <c r="AB100" s="269">
        <v>37.771000000000001</v>
      </c>
    </row>
    <row r="101" spans="10:28">
      <c r="J101" s="268" t="s">
        <v>99</v>
      </c>
      <c r="K101" s="268">
        <v>1899</v>
      </c>
      <c r="L101" s="268"/>
      <c r="M101" s="269">
        <v>2.7870200000000001</v>
      </c>
      <c r="N101" s="302">
        <v>3.2683599000000001</v>
      </c>
      <c r="O101" s="302">
        <v>0.21550800000000001</v>
      </c>
      <c r="P101" s="269">
        <v>3.0528518999999998</v>
      </c>
      <c r="Q101" s="302">
        <v>-0.26583192999999999</v>
      </c>
      <c r="R101" s="269">
        <v>7.7605000000000004</v>
      </c>
      <c r="S101" s="268"/>
      <c r="T101" s="268" t="s">
        <v>97</v>
      </c>
      <c r="U101" s="268">
        <v>1899</v>
      </c>
      <c r="V101" s="268"/>
      <c r="W101" s="269">
        <v>7.4228601000000003</v>
      </c>
      <c r="X101" s="302">
        <v>8.2114296000000007</v>
      </c>
      <c r="Y101" s="302">
        <v>1.3257101</v>
      </c>
      <c r="Z101" s="269">
        <v>6.8857195000000004</v>
      </c>
      <c r="AA101" s="302">
        <v>0.53714061000000002</v>
      </c>
      <c r="AB101" s="269">
        <v>35.088200000000001</v>
      </c>
    </row>
    <row r="102" spans="10:28">
      <c r="J102" s="268" t="s">
        <v>99</v>
      </c>
      <c r="K102" s="268">
        <v>1900</v>
      </c>
      <c r="L102" s="268"/>
      <c r="M102" s="269">
        <v>2.9405999</v>
      </c>
      <c r="N102" s="302">
        <v>2.7001599999999999</v>
      </c>
      <c r="O102" s="302">
        <v>0.20819101000000001</v>
      </c>
      <c r="P102" s="269">
        <v>2.4919690000000001</v>
      </c>
      <c r="Q102" s="302">
        <v>0.4486309</v>
      </c>
      <c r="R102" s="269">
        <v>6.5496001000000001</v>
      </c>
      <c r="S102" s="268"/>
      <c r="T102" s="268" t="s">
        <v>97</v>
      </c>
      <c r="U102" s="268">
        <v>1900</v>
      </c>
      <c r="V102" s="268"/>
      <c r="W102" s="269">
        <v>7.81494</v>
      </c>
      <c r="X102" s="302">
        <v>10.774800000000001</v>
      </c>
      <c r="Y102" s="302">
        <v>1.10368</v>
      </c>
      <c r="Z102" s="269">
        <v>9.6711203000000001</v>
      </c>
      <c r="AA102" s="302">
        <v>-1.8561802999999999</v>
      </c>
      <c r="AB102" s="269">
        <v>32.440300000000001</v>
      </c>
    </row>
    <row r="103" spans="10:28">
      <c r="J103" s="268" t="s">
        <v>99</v>
      </c>
      <c r="K103" s="268">
        <v>1901</v>
      </c>
      <c r="L103" s="268"/>
      <c r="M103" s="269">
        <v>2.7167398999999999</v>
      </c>
      <c r="N103" s="302">
        <v>2.4251900000000002</v>
      </c>
      <c r="O103" s="302">
        <v>0.14951500000000001</v>
      </c>
      <c r="P103" s="269">
        <v>2.2756750000000001</v>
      </c>
      <c r="Q103" s="302">
        <v>0.44106492000000003</v>
      </c>
      <c r="R103" s="269">
        <v>5.6470599000000004</v>
      </c>
      <c r="S103" s="268"/>
      <c r="T103" s="268" t="s">
        <v>97</v>
      </c>
      <c r="U103" s="268">
        <v>1901</v>
      </c>
      <c r="V103" s="268"/>
      <c r="W103" s="269">
        <v>7.9822302000000001</v>
      </c>
      <c r="X103" s="302">
        <v>10.726599999999999</v>
      </c>
      <c r="Y103" s="302">
        <v>1.1343399999999999</v>
      </c>
      <c r="Z103" s="269">
        <v>9.5922596000000002</v>
      </c>
      <c r="AA103" s="302">
        <v>-1.6100295</v>
      </c>
      <c r="AB103" s="269">
        <v>35.795101000000003</v>
      </c>
    </row>
    <row r="104" spans="10:28">
      <c r="J104" s="268" t="s">
        <v>99</v>
      </c>
      <c r="K104" s="268">
        <v>1902</v>
      </c>
      <c r="L104" s="268"/>
      <c r="M104" s="269">
        <v>2.5341401000000001</v>
      </c>
      <c r="N104" s="302">
        <v>2.1861299999999999</v>
      </c>
      <c r="O104" s="302">
        <v>0.13114101</v>
      </c>
      <c r="P104" s="269">
        <v>2.054989</v>
      </c>
      <c r="Q104" s="302">
        <v>0.47915107000000001</v>
      </c>
      <c r="R104" s="269">
        <v>5.3074002</v>
      </c>
      <c r="S104" s="268"/>
      <c r="T104" s="268" t="s">
        <v>97</v>
      </c>
      <c r="U104" s="268">
        <v>1902</v>
      </c>
      <c r="V104" s="268"/>
      <c r="W104" s="269">
        <v>8.7001103999999998</v>
      </c>
      <c r="X104" s="302">
        <v>10.4747</v>
      </c>
      <c r="Y104" s="302">
        <v>1.4671000000000001</v>
      </c>
      <c r="Z104" s="269">
        <v>9.0075999000000007</v>
      </c>
      <c r="AA104" s="302">
        <v>-0.30748951000000002</v>
      </c>
      <c r="AB104" s="269">
        <v>38.968398999999998</v>
      </c>
    </row>
    <row r="105" spans="10:28">
      <c r="J105" s="268" t="s">
        <v>99</v>
      </c>
      <c r="K105" s="268">
        <v>1903</v>
      </c>
      <c r="L105" s="268"/>
      <c r="M105" s="269">
        <v>2.3158900999999998</v>
      </c>
      <c r="N105" s="302">
        <v>2.1309298999999999</v>
      </c>
      <c r="O105" s="302">
        <v>0.117698</v>
      </c>
      <c r="P105" s="269">
        <v>2.0132319000000001</v>
      </c>
      <c r="Q105" s="302">
        <v>0.30265813000000003</v>
      </c>
      <c r="R105" s="269">
        <v>4.7786898999999998</v>
      </c>
      <c r="S105" s="268"/>
      <c r="T105" s="268" t="s">
        <v>97</v>
      </c>
      <c r="U105" s="268">
        <v>1903</v>
      </c>
      <c r="V105" s="268"/>
      <c r="W105" s="269">
        <v>8.2138995999999995</v>
      </c>
      <c r="X105" s="302">
        <v>8.4310503000000008</v>
      </c>
      <c r="Y105" s="302">
        <v>1.38436</v>
      </c>
      <c r="Z105" s="269">
        <v>7.0466902999999999</v>
      </c>
      <c r="AA105" s="302">
        <v>1.1672092999999999</v>
      </c>
      <c r="AB105" s="269">
        <v>41.195801000000003</v>
      </c>
    </row>
    <row r="106" spans="10:28">
      <c r="J106" s="268" t="s">
        <v>99</v>
      </c>
      <c r="K106" s="268">
        <v>1904</v>
      </c>
      <c r="L106" s="268"/>
      <c r="M106" s="269">
        <v>2.3266499</v>
      </c>
      <c r="N106" s="302">
        <v>2.5097201</v>
      </c>
      <c r="O106" s="302">
        <v>0.105977</v>
      </c>
      <c r="P106" s="269">
        <v>2.4037430999999998</v>
      </c>
      <c r="Q106" s="302">
        <v>-7.7093179999999997E-2</v>
      </c>
      <c r="R106" s="269">
        <v>4.8858800000000002</v>
      </c>
      <c r="S106" s="268"/>
      <c r="T106" s="268" t="s">
        <v>97</v>
      </c>
      <c r="U106" s="268">
        <v>1904</v>
      </c>
      <c r="V106" s="268"/>
      <c r="W106" s="269">
        <v>8.1663102999999992</v>
      </c>
      <c r="X106" s="302">
        <v>7.9690799999999999</v>
      </c>
      <c r="Y106" s="302">
        <v>1.32196</v>
      </c>
      <c r="Z106" s="269">
        <v>6.6471200000000001</v>
      </c>
      <c r="AA106" s="302">
        <v>1.5191903</v>
      </c>
      <c r="AB106" s="269">
        <v>40.713698999999998</v>
      </c>
    </row>
    <row r="107" spans="10:28">
      <c r="J107" s="268" t="s">
        <v>99</v>
      </c>
      <c r="K107" s="268">
        <v>1905</v>
      </c>
      <c r="L107" s="268"/>
      <c r="M107" s="269">
        <v>2.1245799000000001</v>
      </c>
      <c r="N107" s="302">
        <v>2.2143799999999998</v>
      </c>
      <c r="O107" s="302">
        <v>9.5991000000000007E-2</v>
      </c>
      <c r="P107" s="269">
        <v>2.1183890000000001</v>
      </c>
      <c r="Q107" s="302">
        <v>6.1908800000000002E-3</v>
      </c>
      <c r="R107" s="269">
        <v>4.4201598000000004</v>
      </c>
      <c r="S107" s="268"/>
      <c r="T107" s="268" t="s">
        <v>97</v>
      </c>
      <c r="U107" s="268">
        <v>1905</v>
      </c>
      <c r="V107" s="268"/>
      <c r="W107" s="269">
        <v>7.9493799000000003</v>
      </c>
      <c r="X107" s="302">
        <v>7.5929798999999996</v>
      </c>
      <c r="Y107" s="302">
        <v>1.2706599999999999</v>
      </c>
      <c r="Z107" s="269">
        <v>6.3223199000000001</v>
      </c>
      <c r="AA107" s="302">
        <v>1.6270601</v>
      </c>
      <c r="AB107" s="269">
        <v>39.034900999999998</v>
      </c>
    </row>
    <row r="108" spans="10:28">
      <c r="J108" s="268" t="s">
        <v>99</v>
      </c>
      <c r="K108" s="268">
        <v>1906</v>
      </c>
      <c r="L108" s="268"/>
      <c r="M108" s="269">
        <v>1.9745299999999999</v>
      </c>
      <c r="N108" s="302">
        <v>1.89228</v>
      </c>
      <c r="O108" s="302">
        <v>8.0671999999999994E-2</v>
      </c>
      <c r="P108" s="269">
        <v>1.8116080000000001</v>
      </c>
      <c r="Q108" s="302">
        <v>0.16292200000000001</v>
      </c>
      <c r="R108" s="269">
        <v>3.7915999999999999</v>
      </c>
      <c r="S108" s="268"/>
      <c r="T108" s="268" t="s">
        <v>97</v>
      </c>
      <c r="U108" s="268">
        <v>1906</v>
      </c>
      <c r="V108" s="268"/>
      <c r="W108" s="269">
        <v>7.9202899999999996</v>
      </c>
      <c r="X108" s="302">
        <v>7.3428702000000001</v>
      </c>
      <c r="Y108" s="302">
        <v>1.1497200000000001</v>
      </c>
      <c r="Z108" s="269">
        <v>6.1931503000000001</v>
      </c>
      <c r="AA108" s="302">
        <v>1.7271396999999999</v>
      </c>
      <c r="AB108" s="269">
        <v>37.404998999999997</v>
      </c>
    </row>
    <row r="109" spans="10:28">
      <c r="J109" s="268" t="s">
        <v>99</v>
      </c>
      <c r="K109" s="268">
        <v>1907</v>
      </c>
      <c r="L109" s="268"/>
      <c r="M109" s="269">
        <v>2.1570499000000001</v>
      </c>
      <c r="N109" s="302">
        <v>1.87609</v>
      </c>
      <c r="O109" s="302">
        <v>7.9306000000000001E-2</v>
      </c>
      <c r="P109" s="269">
        <v>1.7967841</v>
      </c>
      <c r="Q109" s="302">
        <v>0.36026584</v>
      </c>
      <c r="R109" s="269">
        <v>3.7162799999999998</v>
      </c>
      <c r="S109" s="268"/>
      <c r="T109" s="268" t="s">
        <v>97</v>
      </c>
      <c r="U109" s="268">
        <v>1907</v>
      </c>
      <c r="V109" s="268"/>
      <c r="W109" s="269">
        <v>7.8367500000000003</v>
      </c>
      <c r="X109" s="302">
        <v>7.1807698999999996</v>
      </c>
      <c r="Y109" s="302">
        <v>1.0565799</v>
      </c>
      <c r="Z109" s="269">
        <v>6.1241899999999996</v>
      </c>
      <c r="AA109" s="302">
        <v>1.7125600999999999</v>
      </c>
      <c r="AB109" s="269">
        <v>35.332500000000003</v>
      </c>
    </row>
    <row r="110" spans="10:28">
      <c r="J110" s="268" t="s">
        <v>99</v>
      </c>
      <c r="K110" s="268">
        <v>1908</v>
      </c>
      <c r="L110" s="268"/>
      <c r="M110" s="269">
        <v>2.2942100000000001</v>
      </c>
      <c r="N110" s="302">
        <v>2.5127499000000002</v>
      </c>
      <c r="O110" s="302">
        <v>8.1672999999999996E-2</v>
      </c>
      <c r="P110" s="269">
        <v>2.4310768999999999</v>
      </c>
      <c r="Q110" s="302">
        <v>-0.13686696000000001</v>
      </c>
      <c r="R110" s="269">
        <v>4.4891700999999999</v>
      </c>
      <c r="S110" s="268"/>
      <c r="T110" s="268" t="s">
        <v>97</v>
      </c>
      <c r="U110" s="268">
        <v>1908</v>
      </c>
      <c r="V110" s="268"/>
      <c r="W110" s="269">
        <v>7.6681800000000004</v>
      </c>
      <c r="X110" s="302">
        <v>7.3242301999999997</v>
      </c>
      <c r="Y110" s="302">
        <v>1.08751</v>
      </c>
      <c r="Z110" s="269">
        <v>6.2367201999999997</v>
      </c>
      <c r="AA110" s="302">
        <v>1.4314598000000001</v>
      </c>
      <c r="AB110" s="269">
        <v>35.676600999999998</v>
      </c>
    </row>
    <row r="111" spans="10:28">
      <c r="J111" s="268" t="s">
        <v>99</v>
      </c>
      <c r="K111" s="268">
        <v>1909</v>
      </c>
      <c r="L111" s="268"/>
      <c r="M111" s="269">
        <v>1.9723200000000001</v>
      </c>
      <c r="N111" s="302">
        <v>2.2641798999999998</v>
      </c>
      <c r="O111" s="302">
        <v>7.1162000000000003E-2</v>
      </c>
      <c r="P111" s="269">
        <v>2.1930179000000001</v>
      </c>
      <c r="Q111" s="302">
        <v>-0.22069797999999999</v>
      </c>
      <c r="R111" s="269">
        <v>3.7477600999999998</v>
      </c>
      <c r="S111" s="268"/>
      <c r="T111" s="268" t="s">
        <v>97</v>
      </c>
      <c r="U111" s="268">
        <v>1909</v>
      </c>
      <c r="V111" s="268"/>
      <c r="W111" s="269">
        <v>6.5489801999999999</v>
      </c>
      <c r="X111" s="302">
        <v>7.8020902000000003</v>
      </c>
      <c r="Y111" s="302">
        <v>1.0343100000000001</v>
      </c>
      <c r="Z111" s="269">
        <v>6.7677801999999998</v>
      </c>
      <c r="AA111" s="302">
        <v>-0.21879994999999999</v>
      </c>
      <c r="AB111" s="269">
        <v>34.877499</v>
      </c>
    </row>
    <row r="112" spans="10:28">
      <c r="J112" s="268" t="s">
        <v>99</v>
      </c>
      <c r="K112" s="268">
        <v>10</v>
      </c>
      <c r="L112" s="268"/>
      <c r="M112" s="269">
        <v>2.1370900000000002</v>
      </c>
      <c r="N112" s="302">
        <v>2.1943700000000002</v>
      </c>
      <c r="O112" s="302">
        <v>6.7521999999999999E-2</v>
      </c>
      <c r="P112" s="269">
        <v>2.1268479999999998</v>
      </c>
      <c r="Q112" s="302">
        <v>1.024193E-2</v>
      </c>
      <c r="R112" s="269">
        <v>3.62852</v>
      </c>
      <c r="S112" s="268"/>
      <c r="T112" s="268" t="s">
        <v>97</v>
      </c>
      <c r="U112" s="268">
        <v>10</v>
      </c>
      <c r="V112" s="268"/>
      <c r="W112" s="269">
        <v>9.9366503000000002</v>
      </c>
      <c r="X112" s="302">
        <v>8.1822596000000001</v>
      </c>
      <c r="Y112" s="302">
        <v>0.99415200999999997</v>
      </c>
      <c r="Z112" s="269">
        <v>7.1881076000000004</v>
      </c>
      <c r="AA112" s="302">
        <v>2.7485426999999998</v>
      </c>
      <c r="AB112" s="269">
        <v>34.513401000000002</v>
      </c>
    </row>
    <row r="113" spans="10:28">
      <c r="J113" s="268" t="s">
        <v>99</v>
      </c>
      <c r="K113" s="268">
        <v>1911</v>
      </c>
      <c r="L113" s="268"/>
      <c r="M113" s="269">
        <v>2.15306</v>
      </c>
      <c r="N113" s="302">
        <v>2.1204499999999999</v>
      </c>
      <c r="O113" s="302">
        <v>6.5377000000000005E-2</v>
      </c>
      <c r="P113" s="269">
        <v>2.0550730000000001</v>
      </c>
      <c r="Q113" s="302">
        <v>9.7986939999999995E-2</v>
      </c>
      <c r="R113" s="269">
        <v>3.5401598999999999</v>
      </c>
      <c r="S113" s="268"/>
      <c r="T113" s="268" t="s">
        <v>97</v>
      </c>
      <c r="U113" s="268">
        <v>1911</v>
      </c>
      <c r="V113" s="268"/>
      <c r="W113" s="269">
        <v>8.5575600000000005</v>
      </c>
      <c r="X113" s="302">
        <v>8.0490103000000008</v>
      </c>
      <c r="Y113" s="302">
        <v>0.92926502</v>
      </c>
      <c r="Z113" s="269">
        <v>7.1197452999999999</v>
      </c>
      <c r="AA113" s="302">
        <v>1.4378146999999999</v>
      </c>
      <c r="AB113" s="269">
        <v>31.614401000000001</v>
      </c>
    </row>
    <row r="114" spans="10:28">
      <c r="J114" s="268" t="s">
        <v>99</v>
      </c>
      <c r="K114" s="268">
        <v>1912</v>
      </c>
      <c r="L114" s="268"/>
      <c r="M114" s="269">
        <v>1.97939</v>
      </c>
      <c r="N114" s="302">
        <v>1.9716001000000001</v>
      </c>
      <c r="O114" s="302">
        <v>6.4633999999999997E-2</v>
      </c>
      <c r="P114" s="269">
        <v>1.9069661</v>
      </c>
      <c r="Q114" s="302">
        <v>7.2423970000000004E-2</v>
      </c>
      <c r="R114" s="269">
        <v>3.4118499999999998</v>
      </c>
      <c r="S114" s="268"/>
      <c r="T114" s="268" t="s">
        <v>97</v>
      </c>
      <c r="U114" s="268">
        <v>1912</v>
      </c>
      <c r="V114" s="268"/>
      <c r="W114" s="269">
        <v>8.5584802999999994</v>
      </c>
      <c r="X114" s="302">
        <v>8.3408899000000005</v>
      </c>
      <c r="Y114" s="302">
        <v>0.90208500999999996</v>
      </c>
      <c r="Z114" s="269">
        <v>7.4388049000000001</v>
      </c>
      <c r="AA114" s="302">
        <v>1.1196752999999999</v>
      </c>
      <c r="AB114" s="269">
        <v>29.792200000000001</v>
      </c>
    </row>
    <row r="115" spans="10:28">
      <c r="J115" s="268" t="s">
        <v>99</v>
      </c>
      <c r="K115" s="268">
        <v>1913</v>
      </c>
      <c r="L115" s="268"/>
      <c r="M115" s="269">
        <v>1.9459200000000001</v>
      </c>
      <c r="N115" s="302">
        <v>1.9470099999999999</v>
      </c>
      <c r="O115" s="302">
        <v>6.2368E-2</v>
      </c>
      <c r="P115" s="269">
        <v>1.8846419999999999</v>
      </c>
      <c r="Q115" s="302">
        <v>6.1277949999999998E-2</v>
      </c>
      <c r="R115" s="269">
        <v>3.2493899000000002</v>
      </c>
      <c r="S115" s="268"/>
      <c r="T115" s="268" t="s">
        <v>97</v>
      </c>
      <c r="U115" s="268">
        <v>1913</v>
      </c>
      <c r="V115" s="268"/>
      <c r="W115" s="269">
        <v>8.4197102000000008</v>
      </c>
      <c r="X115" s="302">
        <v>8.1690702000000002</v>
      </c>
      <c r="Y115" s="302">
        <v>0.81988101999999996</v>
      </c>
      <c r="Z115" s="269">
        <v>7.3491891999999996</v>
      </c>
      <c r="AA115" s="302">
        <v>1.0705209</v>
      </c>
      <c r="AB115" s="269">
        <v>27.898599999999998</v>
      </c>
    </row>
    <row r="116" spans="10:28">
      <c r="J116" s="268" t="s">
        <v>99</v>
      </c>
      <c r="K116" s="268">
        <v>1914</v>
      </c>
      <c r="L116" s="268">
        <v>150</v>
      </c>
      <c r="M116" s="269">
        <v>2.1155900999999999</v>
      </c>
      <c r="N116" s="302">
        <v>2.1167799999999999</v>
      </c>
      <c r="O116" s="302">
        <v>6.6707000000000002E-2</v>
      </c>
      <c r="P116" s="269">
        <v>2.0500729999999998</v>
      </c>
      <c r="Q116" s="302">
        <v>6.5517049999999993E-2</v>
      </c>
      <c r="R116" s="269">
        <v>3.4667699000000001</v>
      </c>
      <c r="S116" s="268"/>
      <c r="T116" s="268" t="s">
        <v>97</v>
      </c>
      <c r="U116" s="268">
        <v>1914</v>
      </c>
      <c r="V116" s="268">
        <v>300</v>
      </c>
      <c r="W116" s="269">
        <v>9.9815397000000008</v>
      </c>
      <c r="X116" s="302">
        <v>24.580099000000001</v>
      </c>
      <c r="Y116" s="302">
        <v>2.4479799</v>
      </c>
      <c r="Z116" s="269">
        <v>22.132118999999999</v>
      </c>
      <c r="AA116" s="302">
        <v>-12.150579</v>
      </c>
      <c r="AB116" s="269">
        <v>27.2712</v>
      </c>
    </row>
    <row r="117" spans="10:28">
      <c r="J117" s="268" t="s">
        <v>99</v>
      </c>
      <c r="K117" s="268">
        <v>1915</v>
      </c>
      <c r="L117" s="268">
        <v>150</v>
      </c>
      <c r="M117" s="269">
        <v>1.89727</v>
      </c>
      <c r="N117" s="302">
        <v>2.0712700000000002</v>
      </c>
      <c r="O117" s="302">
        <v>6.3582E-2</v>
      </c>
      <c r="P117" s="269">
        <v>2.0076879999999999</v>
      </c>
      <c r="Q117" s="302">
        <v>-0.11041802000000001</v>
      </c>
      <c r="R117" s="269">
        <v>3.3071400999999998</v>
      </c>
      <c r="S117" s="268"/>
      <c r="T117" s="268" t="s">
        <v>97</v>
      </c>
      <c r="U117" s="268">
        <v>1915</v>
      </c>
      <c r="V117" s="268">
        <v>300</v>
      </c>
      <c r="W117" s="269">
        <v>12.292899999999999</v>
      </c>
      <c r="X117" s="302">
        <v>42.277400999999998</v>
      </c>
      <c r="Y117" s="302">
        <v>2.0387398999999999</v>
      </c>
      <c r="Z117" s="269">
        <v>40.238661</v>
      </c>
      <c r="AA117" s="302">
        <v>-27.945761000000001</v>
      </c>
      <c r="AB117" s="269">
        <v>39.282600000000002</v>
      </c>
    </row>
    <row r="118" spans="10:28">
      <c r="J118" s="268" t="s">
        <v>99</v>
      </c>
      <c r="K118" s="268">
        <v>1916</v>
      </c>
      <c r="L118" s="268">
        <v>150</v>
      </c>
      <c r="M118" s="269">
        <v>1.7036901</v>
      </c>
      <c r="N118" s="302">
        <v>1.5952200000000001</v>
      </c>
      <c r="O118" s="302">
        <v>5.1240000000000001E-2</v>
      </c>
      <c r="P118" s="269">
        <v>1.5439799999999999</v>
      </c>
      <c r="Q118" s="302">
        <v>0.15971008</v>
      </c>
      <c r="R118" s="269">
        <v>2.74119</v>
      </c>
      <c r="S118" s="268"/>
      <c r="T118" s="268" t="s">
        <v>97</v>
      </c>
      <c r="U118" s="268">
        <v>1916</v>
      </c>
      <c r="V118" s="268">
        <v>300</v>
      </c>
      <c r="W118" s="269">
        <v>17.835899000000001</v>
      </c>
      <c r="X118" s="302">
        <v>68.417502999999996</v>
      </c>
      <c r="Y118" s="302">
        <v>2.9120599999999999</v>
      </c>
      <c r="Z118" s="269">
        <v>65.505443</v>
      </c>
      <c r="AA118" s="302">
        <v>-47.669544000000002</v>
      </c>
      <c r="AB118" s="269">
        <v>65.584900000000005</v>
      </c>
    </row>
    <row r="119" spans="10:28">
      <c r="J119" s="268" t="s">
        <v>99</v>
      </c>
      <c r="K119" s="268">
        <v>1917</v>
      </c>
      <c r="L119" s="268">
        <v>150</v>
      </c>
      <c r="M119" s="269">
        <v>2.1142699999999999</v>
      </c>
      <c r="N119" s="302">
        <v>3.7537400999999999</v>
      </c>
      <c r="O119" s="302">
        <v>4.7536000000000002E-2</v>
      </c>
      <c r="P119" s="269">
        <v>3.7062040999999999</v>
      </c>
      <c r="Q119" s="302">
        <v>-1.5919341</v>
      </c>
      <c r="R119" s="269">
        <v>5.7167401</v>
      </c>
      <c r="S119" s="268"/>
      <c r="T119" s="268" t="s">
        <v>97</v>
      </c>
      <c r="U119" s="268">
        <v>1917</v>
      </c>
      <c r="V119" s="268">
        <v>300</v>
      </c>
      <c r="W119" s="269">
        <v>17.3489</v>
      </c>
      <c r="X119" s="302">
        <v>66.156502000000003</v>
      </c>
      <c r="Y119" s="302">
        <v>3.9756800999999999</v>
      </c>
      <c r="Z119" s="269">
        <v>62.180821999999999</v>
      </c>
      <c r="AA119" s="302">
        <v>-44.831921999999999</v>
      </c>
      <c r="AB119" s="269">
        <v>97.845802000000006</v>
      </c>
    </row>
    <row r="120" spans="10:28">
      <c r="J120" s="268" t="s">
        <v>99</v>
      </c>
      <c r="K120" s="268">
        <v>1918</v>
      </c>
      <c r="L120" s="268">
        <v>150</v>
      </c>
      <c r="M120" s="269">
        <v>5.4553098999999996</v>
      </c>
      <c r="N120" s="302">
        <v>18.972401000000001</v>
      </c>
      <c r="O120" s="302">
        <v>0.28396100000000002</v>
      </c>
      <c r="P120" s="269">
        <v>18.68844</v>
      </c>
      <c r="Q120" s="302">
        <v>-13.233129999999999</v>
      </c>
      <c r="R120" s="269">
        <v>18.639999</v>
      </c>
      <c r="S120" s="268"/>
      <c r="T120" s="268" t="s">
        <v>97</v>
      </c>
      <c r="U120" s="268">
        <v>1918</v>
      </c>
      <c r="V120" s="268">
        <v>300</v>
      </c>
      <c r="W120" s="269">
        <v>18.099299999999999</v>
      </c>
      <c r="X120" s="302">
        <v>52.506301999999998</v>
      </c>
      <c r="Y120" s="302">
        <v>4.5027398999999999</v>
      </c>
      <c r="Z120" s="269">
        <v>48.003562000000002</v>
      </c>
      <c r="AA120" s="302">
        <v>-29.904261999999999</v>
      </c>
      <c r="AB120" s="269">
        <v>119.099</v>
      </c>
    </row>
    <row r="121" spans="10:28">
      <c r="J121" s="268" t="s">
        <v>99</v>
      </c>
      <c r="K121" s="268">
        <v>1919</v>
      </c>
      <c r="L121" s="268"/>
      <c r="M121" s="269">
        <v>6.6997198999999998</v>
      </c>
      <c r="N121" s="302">
        <v>24.150998999999999</v>
      </c>
      <c r="O121" s="302">
        <v>0.80868202</v>
      </c>
      <c r="P121" s="269">
        <v>23.342317000000001</v>
      </c>
      <c r="Q121" s="302">
        <v>-16.642596999999999</v>
      </c>
      <c r="R121" s="269">
        <v>33.282200000000003</v>
      </c>
      <c r="S121" s="268"/>
      <c r="T121" s="268" t="s">
        <v>97</v>
      </c>
      <c r="U121" s="268">
        <v>1919</v>
      </c>
      <c r="V121" s="268"/>
      <c r="W121" s="269">
        <v>25.802401</v>
      </c>
      <c r="X121" s="302">
        <v>32.079700000000003</v>
      </c>
      <c r="Y121" s="302">
        <v>5.6528100999999999</v>
      </c>
      <c r="Z121" s="269">
        <v>26.42689</v>
      </c>
      <c r="AA121" s="302">
        <v>-0.62448977999999999</v>
      </c>
      <c r="AB121" s="269">
        <v>142.76600999999999</v>
      </c>
    </row>
    <row r="122" spans="10:28">
      <c r="J122" s="268" t="s">
        <v>99</v>
      </c>
      <c r="K122" s="268">
        <v>20</v>
      </c>
      <c r="L122" s="268"/>
      <c r="M122" s="269">
        <v>7.6369699999999998</v>
      </c>
      <c r="N122" s="302">
        <v>7.3024702000000001</v>
      </c>
      <c r="O122" s="302">
        <v>1.17187</v>
      </c>
      <c r="P122" s="269">
        <v>6.1306001999999999</v>
      </c>
      <c r="Q122" s="302">
        <v>1.5063698000000001</v>
      </c>
      <c r="R122" s="269">
        <v>27.910399999999999</v>
      </c>
      <c r="S122" s="268"/>
      <c r="T122" s="268" t="s">
        <v>97</v>
      </c>
      <c r="U122" s="268">
        <v>20</v>
      </c>
      <c r="V122" s="268"/>
      <c r="W122" s="269">
        <v>25.160900000000002</v>
      </c>
      <c r="X122" s="302">
        <v>20.961500000000001</v>
      </c>
      <c r="Y122" s="302">
        <v>6.1924701000000004</v>
      </c>
      <c r="Z122" s="269">
        <v>14.769030000000001</v>
      </c>
      <c r="AA122" s="302">
        <v>10.391870000000001</v>
      </c>
      <c r="AB122" s="269">
        <v>137.79400999999999</v>
      </c>
    </row>
    <row r="123" spans="10:28">
      <c r="J123" s="268" t="s">
        <v>99</v>
      </c>
      <c r="K123" s="268">
        <v>1921</v>
      </c>
      <c r="L123" s="268"/>
      <c r="M123" s="269">
        <v>7.5342001999999999</v>
      </c>
      <c r="N123" s="302">
        <v>6.8457999000000003</v>
      </c>
      <c r="O123" s="302">
        <v>1.3512900000000001</v>
      </c>
      <c r="P123" s="269">
        <v>5.4945098999999997</v>
      </c>
      <c r="Q123" s="302">
        <v>2.0396903000000002</v>
      </c>
      <c r="R123" s="269">
        <v>32.428199999999997</v>
      </c>
      <c r="S123" s="268"/>
      <c r="T123" s="268" t="s">
        <v>97</v>
      </c>
      <c r="U123" s="268">
        <v>1921</v>
      </c>
      <c r="V123" s="268"/>
      <c r="W123" s="269">
        <v>23.583200000000001</v>
      </c>
      <c r="X123" s="302">
        <v>22.430201</v>
      </c>
      <c r="Y123" s="302">
        <v>7.9478302000000003</v>
      </c>
      <c r="Z123" s="269">
        <v>14.48237</v>
      </c>
      <c r="AA123" s="302">
        <v>9.1008300999999996</v>
      </c>
      <c r="AB123" s="269">
        <v>158.41</v>
      </c>
    </row>
    <row r="124" spans="10:28">
      <c r="J124" s="268" t="s">
        <v>99</v>
      </c>
      <c r="K124" s="268">
        <v>1922</v>
      </c>
      <c r="L124" s="268"/>
      <c r="M124" s="269">
        <v>5.5286397999999997</v>
      </c>
      <c r="N124" s="302">
        <v>4.5172299999999996</v>
      </c>
      <c r="O124" s="302">
        <v>1.3609100999999999</v>
      </c>
      <c r="P124" s="269">
        <v>3.15632</v>
      </c>
      <c r="Q124" s="302">
        <v>2.3723198000000001</v>
      </c>
      <c r="R124" s="269">
        <v>31.534901000000001</v>
      </c>
      <c r="S124" s="268"/>
      <c r="T124" s="268" t="s">
        <v>97</v>
      </c>
      <c r="U124" s="268">
        <v>1922</v>
      </c>
      <c r="V124" s="268"/>
      <c r="W124" s="269">
        <v>21.956099999999999</v>
      </c>
      <c r="X124" s="302">
        <v>19.505800000000001</v>
      </c>
      <c r="Y124" s="302">
        <v>8.5240001999999997</v>
      </c>
      <c r="Z124" s="269">
        <v>10.9818</v>
      </c>
      <c r="AA124" s="302">
        <v>10.974299999999999</v>
      </c>
      <c r="AB124" s="269">
        <v>183.48199</v>
      </c>
    </row>
    <row r="125" spans="10:28">
      <c r="J125" s="268" t="s">
        <v>99</v>
      </c>
      <c r="K125" s="268">
        <v>1923</v>
      </c>
      <c r="L125" s="268"/>
      <c r="M125" s="269">
        <v>4.5376101000000002</v>
      </c>
      <c r="N125" s="302">
        <v>3.6984601000000001</v>
      </c>
      <c r="O125" s="302">
        <v>1.2436100000000001</v>
      </c>
      <c r="P125" s="269">
        <v>2.4548500999999998</v>
      </c>
      <c r="Q125" s="302">
        <v>2.0827599999999999</v>
      </c>
      <c r="R125" s="269">
        <v>26.322299999999998</v>
      </c>
      <c r="S125" s="268"/>
      <c r="T125" s="268" t="s">
        <v>97</v>
      </c>
      <c r="U125" s="268">
        <v>1923</v>
      </c>
      <c r="V125" s="268"/>
      <c r="W125" s="269">
        <v>21.177199999999999</v>
      </c>
      <c r="X125" s="302">
        <v>18.950700999999999</v>
      </c>
      <c r="Y125" s="302">
        <v>9.16784</v>
      </c>
      <c r="Z125" s="269">
        <v>9.7828607999999999</v>
      </c>
      <c r="AA125" s="302">
        <v>11.39434</v>
      </c>
      <c r="AB125" s="269">
        <v>195.54400999999999</v>
      </c>
    </row>
    <row r="126" spans="10:28">
      <c r="J126" s="268" t="s">
        <v>99</v>
      </c>
      <c r="K126" s="268">
        <v>1924</v>
      </c>
      <c r="L126" s="268"/>
      <c r="M126" s="269">
        <v>4.4484900999999999</v>
      </c>
      <c r="N126" s="302">
        <v>3.3414700000000002</v>
      </c>
      <c r="O126" s="302">
        <v>1.08087</v>
      </c>
      <c r="P126" s="269">
        <v>2.2606000000000002</v>
      </c>
      <c r="Q126" s="302">
        <v>2.1878902</v>
      </c>
      <c r="R126" s="269">
        <v>24.419799999999999</v>
      </c>
      <c r="S126" s="268"/>
      <c r="T126" s="268" t="s">
        <v>97</v>
      </c>
      <c r="U126" s="268">
        <v>1924</v>
      </c>
      <c r="V126" s="268"/>
      <c r="W126" s="269">
        <v>19.777699999999999</v>
      </c>
      <c r="X126" s="302">
        <v>18.589600000000001</v>
      </c>
      <c r="Y126" s="302">
        <v>8.7036200000000008</v>
      </c>
      <c r="Z126" s="269">
        <v>9.8859797</v>
      </c>
      <c r="AA126" s="302">
        <v>9.8917207999999999</v>
      </c>
      <c r="AB126" s="269">
        <v>188.80700999999999</v>
      </c>
    </row>
    <row r="127" spans="10:28">
      <c r="J127" s="268" t="s">
        <v>99</v>
      </c>
      <c r="K127" s="268">
        <v>1925</v>
      </c>
      <c r="L127" s="268"/>
      <c r="M127" s="269">
        <v>3.9855999999999998</v>
      </c>
      <c r="N127" s="302">
        <v>3.20065</v>
      </c>
      <c r="O127" s="302">
        <v>0.96531599999999995</v>
      </c>
      <c r="P127" s="269">
        <v>2.2353339999999999</v>
      </c>
      <c r="Q127" s="302">
        <v>1.7502660000000001</v>
      </c>
      <c r="R127" s="269">
        <v>22.459101</v>
      </c>
      <c r="S127" s="268"/>
      <c r="T127" s="268" t="s">
        <v>97</v>
      </c>
      <c r="U127" s="268">
        <v>1925</v>
      </c>
      <c r="V127" s="268"/>
      <c r="W127" s="269">
        <v>18.946199</v>
      </c>
      <c r="X127" s="302">
        <v>18.106300000000001</v>
      </c>
      <c r="Y127" s="302">
        <v>8.4294595999999995</v>
      </c>
      <c r="Z127" s="269">
        <v>9.6768408000000008</v>
      </c>
      <c r="AA127" s="302">
        <v>9.2693586000000003</v>
      </c>
      <c r="AB127" s="269">
        <v>176.97501</v>
      </c>
    </row>
    <row r="128" spans="10:28">
      <c r="J128" s="268" t="s">
        <v>99</v>
      </c>
      <c r="K128" s="268">
        <v>1926</v>
      </c>
      <c r="L128" s="268"/>
      <c r="M128" s="269">
        <v>3.8941800999999998</v>
      </c>
      <c r="N128" s="302">
        <v>3.0064498999999998</v>
      </c>
      <c r="O128" s="302">
        <v>0.85365497999999995</v>
      </c>
      <c r="P128" s="269">
        <v>2.1527949999999998</v>
      </c>
      <c r="Q128" s="302">
        <v>1.7413851</v>
      </c>
      <c r="R128" s="269">
        <v>20.155999999999999</v>
      </c>
      <c r="S128" s="268"/>
      <c r="T128" s="268" t="s">
        <v>97</v>
      </c>
      <c r="U128" s="268">
        <v>1926</v>
      </c>
      <c r="V128" s="268"/>
      <c r="W128" s="269">
        <v>19.987100999999999</v>
      </c>
      <c r="X128" s="302">
        <v>19.391999999999999</v>
      </c>
      <c r="Y128" s="302">
        <v>8.9675797999999993</v>
      </c>
      <c r="Z128" s="269">
        <v>10.42442</v>
      </c>
      <c r="AA128" s="302">
        <v>9.5626802000000009</v>
      </c>
      <c r="AB128" s="269">
        <v>187.125</v>
      </c>
    </row>
    <row r="129" spans="10:28">
      <c r="J129" s="268" t="s">
        <v>99</v>
      </c>
      <c r="K129" s="268">
        <v>1927</v>
      </c>
      <c r="L129" s="268"/>
      <c r="M129" s="269">
        <v>4.1453600000000002</v>
      </c>
      <c r="N129" s="302">
        <v>2.9518298999999999</v>
      </c>
      <c r="O129" s="302">
        <v>0.81301999000000003</v>
      </c>
      <c r="P129" s="269">
        <v>2.1388099</v>
      </c>
      <c r="Q129" s="302">
        <v>2.0065501000000001</v>
      </c>
      <c r="R129" s="269">
        <v>19.123501000000001</v>
      </c>
      <c r="S129" s="268"/>
      <c r="T129" s="268" t="s">
        <v>97</v>
      </c>
      <c r="U129" s="268">
        <v>1927</v>
      </c>
      <c r="V129" s="268"/>
      <c r="W129" s="269">
        <v>19.833500000000001</v>
      </c>
      <c r="X129" s="302">
        <v>18.210100000000001</v>
      </c>
      <c r="Y129" s="302">
        <v>8.6975403</v>
      </c>
      <c r="Z129" s="269">
        <v>9.5125598999999994</v>
      </c>
      <c r="AA129" s="302">
        <v>10.32094</v>
      </c>
      <c r="AB129" s="269">
        <v>177.452</v>
      </c>
    </row>
    <row r="130" spans="10:28">
      <c r="J130" s="268" t="s">
        <v>99</v>
      </c>
      <c r="K130" s="268">
        <v>1928</v>
      </c>
      <c r="L130" s="268"/>
      <c r="M130" s="269">
        <v>4.0290599</v>
      </c>
      <c r="N130" s="302">
        <v>3.05898</v>
      </c>
      <c r="O130" s="302">
        <v>0.75591600000000003</v>
      </c>
      <c r="P130" s="269">
        <v>2.303064</v>
      </c>
      <c r="Q130" s="302">
        <v>1.7259959</v>
      </c>
      <c r="R130" s="269">
        <v>18.185300999999999</v>
      </c>
      <c r="S130" s="268"/>
      <c r="T130" s="268" t="s">
        <v>97</v>
      </c>
      <c r="U130" s="268">
        <v>1928</v>
      </c>
      <c r="V130" s="268"/>
      <c r="W130" s="269">
        <v>19.553801</v>
      </c>
      <c r="X130" s="302">
        <v>17.799499999999998</v>
      </c>
      <c r="Y130" s="302">
        <v>8.9149799000000005</v>
      </c>
      <c r="Z130" s="269">
        <v>8.8845196000000008</v>
      </c>
      <c r="AA130" s="302">
        <v>10.669281</v>
      </c>
      <c r="AB130" s="269">
        <v>175.78</v>
      </c>
    </row>
    <row r="131" spans="10:28">
      <c r="J131" s="268" t="s">
        <v>99</v>
      </c>
      <c r="K131" s="268">
        <v>1929</v>
      </c>
      <c r="L131" s="268"/>
      <c r="M131" s="269">
        <v>3.7238099999999998</v>
      </c>
      <c r="N131" s="302">
        <v>3.0156200000000002</v>
      </c>
      <c r="O131" s="302">
        <v>0.65412700000000001</v>
      </c>
      <c r="P131" s="269">
        <v>2.3614929999999998</v>
      </c>
      <c r="Q131" s="302">
        <v>1.362317</v>
      </c>
      <c r="R131" s="269">
        <v>16.327000000000002</v>
      </c>
      <c r="S131" s="268"/>
      <c r="T131" s="268" t="s">
        <v>97</v>
      </c>
      <c r="U131" s="268">
        <v>1929</v>
      </c>
      <c r="V131" s="268"/>
      <c r="W131" s="269">
        <v>18.560499</v>
      </c>
      <c r="X131" s="302">
        <v>17.808900999999999</v>
      </c>
      <c r="Y131" s="302">
        <v>8.7382802999999996</v>
      </c>
      <c r="Z131" s="269">
        <v>9.0706205000000004</v>
      </c>
      <c r="AA131" s="302">
        <v>9.4898787000000002</v>
      </c>
      <c r="AB131" s="269">
        <v>170.524</v>
      </c>
    </row>
    <row r="132" spans="10:28">
      <c r="J132" s="268" t="s">
        <v>99</v>
      </c>
      <c r="K132" s="268">
        <v>30</v>
      </c>
      <c r="L132" s="268"/>
      <c r="M132" s="269">
        <v>4.4445601000000003</v>
      </c>
      <c r="N132" s="302">
        <v>3.6366000000000001</v>
      </c>
      <c r="O132" s="302">
        <v>0.72217703</v>
      </c>
      <c r="P132" s="269">
        <v>2.9144230000000002</v>
      </c>
      <c r="Q132" s="302">
        <v>1.5301370999999999</v>
      </c>
      <c r="R132" s="269">
        <v>17.727599999999999</v>
      </c>
      <c r="S132" s="268"/>
      <c r="T132" s="268" t="s">
        <v>97</v>
      </c>
      <c r="U132" s="268">
        <v>30</v>
      </c>
      <c r="V132" s="268"/>
      <c r="W132" s="269">
        <v>19.6751</v>
      </c>
      <c r="X132" s="302">
        <v>18.6661</v>
      </c>
      <c r="Y132" s="302">
        <v>8.8840704000000006</v>
      </c>
      <c r="Z132" s="269">
        <v>9.7820292000000002</v>
      </c>
      <c r="AA132" s="302">
        <v>9.8930711999999996</v>
      </c>
      <c r="AB132" s="269">
        <v>170.99699000000001</v>
      </c>
    </row>
    <row r="133" spans="10:28">
      <c r="J133" s="268" t="s">
        <v>99</v>
      </c>
      <c r="K133" s="268">
        <v>1931</v>
      </c>
      <c r="L133" s="268"/>
      <c r="M133" s="269">
        <v>4.0673098999999997</v>
      </c>
      <c r="N133" s="302">
        <v>4.67028</v>
      </c>
      <c r="O133" s="302">
        <v>0.79838096999999997</v>
      </c>
      <c r="P133" s="269">
        <v>3.871899</v>
      </c>
      <c r="Q133" s="302">
        <v>0.19541085</v>
      </c>
      <c r="R133" s="269">
        <v>21.933800000000002</v>
      </c>
      <c r="S133" s="268"/>
      <c r="T133" s="268" t="s">
        <v>97</v>
      </c>
      <c r="U133" s="268">
        <v>1931</v>
      </c>
      <c r="V133" s="268"/>
      <c r="W133" s="269">
        <v>21.251301000000002</v>
      </c>
      <c r="X133" s="302">
        <v>20.452200000000001</v>
      </c>
      <c r="Y133" s="302">
        <v>9.4995402999999996</v>
      </c>
      <c r="Z133" s="269">
        <v>10.95266</v>
      </c>
      <c r="AA133" s="302">
        <v>10.298641</v>
      </c>
      <c r="AB133" s="269">
        <v>184.82599999999999</v>
      </c>
    </row>
    <row r="134" spans="10:28">
      <c r="J134" s="268" t="s">
        <v>99</v>
      </c>
      <c r="K134" s="268">
        <v>1932</v>
      </c>
      <c r="L134" s="268"/>
      <c r="M134" s="269">
        <v>3.2719200000000002</v>
      </c>
      <c r="N134" s="302">
        <v>7.9237799999999998</v>
      </c>
      <c r="O134" s="302">
        <v>1.0191801</v>
      </c>
      <c r="P134" s="269">
        <v>6.9045999</v>
      </c>
      <c r="Q134" s="302">
        <v>-3.6326798999999999</v>
      </c>
      <c r="R134" s="269">
        <v>33.141201000000002</v>
      </c>
      <c r="S134" s="268"/>
      <c r="T134" s="268" t="s">
        <v>97</v>
      </c>
      <c r="U134" s="268">
        <v>1932</v>
      </c>
      <c r="V134" s="268"/>
      <c r="W134" s="269">
        <v>21.186700999999999</v>
      </c>
      <c r="X134" s="302">
        <v>21.340401</v>
      </c>
      <c r="Y134" s="302">
        <v>9.7087401999999994</v>
      </c>
      <c r="Z134" s="269">
        <v>11.63166</v>
      </c>
      <c r="AA134" s="302">
        <v>9.5550403999999993</v>
      </c>
      <c r="AB134" s="269">
        <v>190.14699999999999</v>
      </c>
    </row>
    <row r="135" spans="10:28">
      <c r="J135" s="268" t="s">
        <v>99</v>
      </c>
      <c r="K135" s="268">
        <v>1933</v>
      </c>
      <c r="L135" s="268"/>
      <c r="M135" s="269">
        <v>3.5404998999999999</v>
      </c>
      <c r="N135" s="302">
        <v>8.1533604000000004</v>
      </c>
      <c r="O135" s="302">
        <v>1.22228</v>
      </c>
      <c r="P135" s="269">
        <v>6.9310802999999996</v>
      </c>
      <c r="Q135" s="302">
        <v>-3.3905804000000002</v>
      </c>
      <c r="R135" s="269">
        <v>39.962200000000003</v>
      </c>
      <c r="S135" s="268"/>
      <c r="T135" s="268" t="s">
        <v>97</v>
      </c>
      <c r="U135" s="268">
        <v>1933</v>
      </c>
      <c r="V135" s="268"/>
      <c r="W135" s="269">
        <v>20.5609</v>
      </c>
      <c r="X135" s="302">
        <v>19.569700000000001</v>
      </c>
      <c r="Y135" s="302">
        <v>9.3066502</v>
      </c>
      <c r="Z135" s="269">
        <v>10.26305</v>
      </c>
      <c r="AA135" s="302">
        <v>10.29785</v>
      </c>
      <c r="AB135" s="269">
        <v>193.96600000000001</v>
      </c>
    </row>
    <row r="136" spans="10:28">
      <c r="J136" s="268" t="s">
        <v>99</v>
      </c>
      <c r="K136" s="268">
        <v>1934</v>
      </c>
      <c r="L136" s="268"/>
      <c r="M136" s="269">
        <v>4.5681399999999996</v>
      </c>
      <c r="N136" s="302">
        <v>10.067600000000001</v>
      </c>
      <c r="O136" s="302">
        <v>1.14639</v>
      </c>
      <c r="P136" s="269">
        <v>8.9212103000000003</v>
      </c>
      <c r="Q136" s="302">
        <v>-4.3530702999999997</v>
      </c>
      <c r="R136" s="269">
        <v>40.989601</v>
      </c>
      <c r="S136" s="268"/>
      <c r="T136" s="268" t="s">
        <v>97</v>
      </c>
      <c r="U136" s="268">
        <v>1934</v>
      </c>
      <c r="V136" s="268"/>
      <c r="W136" s="269">
        <v>19.236601</v>
      </c>
      <c r="X136" s="302">
        <v>18.758600000000001</v>
      </c>
      <c r="Y136" s="302">
        <v>7.7485099000000002</v>
      </c>
      <c r="Z136" s="269">
        <v>11.01009</v>
      </c>
      <c r="AA136" s="302">
        <v>8.2265104999999998</v>
      </c>
      <c r="AB136" s="269">
        <v>186.63498999999999</v>
      </c>
    </row>
    <row r="137" spans="10:28">
      <c r="J137" s="268" t="s">
        <v>99</v>
      </c>
      <c r="K137" s="268">
        <v>1935</v>
      </c>
      <c r="L137" s="268"/>
      <c r="M137" s="269">
        <v>5.0558700999999999</v>
      </c>
      <c r="N137" s="302">
        <v>8.8635902000000009</v>
      </c>
      <c r="O137" s="302">
        <v>1.1199501000000001</v>
      </c>
      <c r="P137" s="269">
        <v>7.7436401999999998</v>
      </c>
      <c r="Q137" s="302">
        <v>-2.6877700999999998</v>
      </c>
      <c r="R137" s="269">
        <v>39.155399000000003</v>
      </c>
      <c r="S137" s="268"/>
      <c r="T137" s="268" t="s">
        <v>97</v>
      </c>
      <c r="U137" s="268">
        <v>1935</v>
      </c>
      <c r="V137" s="268"/>
      <c r="W137" s="269">
        <v>19.3216</v>
      </c>
      <c r="X137" s="302">
        <v>18.955798999999999</v>
      </c>
      <c r="Y137" s="302">
        <v>6.9915298999999997</v>
      </c>
      <c r="Z137" s="269">
        <v>11.964269</v>
      </c>
      <c r="AA137" s="302">
        <v>7.3573307999999997</v>
      </c>
      <c r="AB137" s="269">
        <v>178.08799999999999</v>
      </c>
    </row>
    <row r="138" spans="10:28">
      <c r="J138" s="268" t="s">
        <v>99</v>
      </c>
      <c r="K138" s="268">
        <v>1936</v>
      </c>
      <c r="L138" s="268"/>
      <c r="M138" s="269">
        <v>4.7754598000000001</v>
      </c>
      <c r="N138" s="302">
        <v>10.0617</v>
      </c>
      <c r="O138" s="302">
        <v>0.89533699</v>
      </c>
      <c r="P138" s="269">
        <v>9.1663628999999993</v>
      </c>
      <c r="Q138" s="302">
        <v>-4.3909031000000001</v>
      </c>
      <c r="R138" s="269">
        <v>40.356701000000001</v>
      </c>
      <c r="S138" s="268"/>
      <c r="T138" s="268" t="s">
        <v>97</v>
      </c>
      <c r="U138" s="268">
        <v>1936</v>
      </c>
      <c r="V138" s="268"/>
      <c r="W138" s="269">
        <v>19.613399999999999</v>
      </c>
      <c r="X138" s="302">
        <v>19.438499</v>
      </c>
      <c r="Y138" s="302">
        <v>6.6172098999999998</v>
      </c>
      <c r="Z138" s="269">
        <v>12.821289999999999</v>
      </c>
      <c r="AA138" s="302">
        <v>6.7921100000000001</v>
      </c>
      <c r="AB138" s="269">
        <v>170.19501</v>
      </c>
    </row>
    <row r="139" spans="10:28">
      <c r="J139" s="268" t="s">
        <v>99</v>
      </c>
      <c r="K139" s="268">
        <v>1937</v>
      </c>
      <c r="L139" s="268"/>
      <c r="M139" s="269">
        <v>5.3923997999999997</v>
      </c>
      <c r="N139" s="302">
        <v>8.4146204000000004</v>
      </c>
      <c r="O139" s="302">
        <v>0.942747</v>
      </c>
      <c r="P139" s="269">
        <v>7.4718733999999998</v>
      </c>
      <c r="Q139" s="302">
        <v>-2.0794736</v>
      </c>
      <c r="R139" s="269">
        <v>39.635100999999999</v>
      </c>
      <c r="S139" s="268"/>
      <c r="T139" s="268" t="s">
        <v>97</v>
      </c>
      <c r="U139" s="268">
        <v>1937</v>
      </c>
      <c r="V139" s="268"/>
      <c r="W139" s="269">
        <v>19.3444</v>
      </c>
      <c r="X139" s="302">
        <v>18.5291</v>
      </c>
      <c r="Y139" s="302">
        <v>6.3741998999999998</v>
      </c>
      <c r="Z139" s="269">
        <v>12.154901000000001</v>
      </c>
      <c r="AA139" s="302">
        <v>7.1894999000000004</v>
      </c>
      <c r="AB139" s="269">
        <v>158.69099</v>
      </c>
    </row>
    <row r="140" spans="10:28">
      <c r="J140" s="268" t="s">
        <v>99</v>
      </c>
      <c r="K140" s="268">
        <v>1938</v>
      </c>
      <c r="L140" s="268"/>
      <c r="M140" s="269">
        <v>6.4901400000000002</v>
      </c>
      <c r="N140" s="302">
        <v>7.8567099999999996</v>
      </c>
      <c r="O140" s="302">
        <v>1.07582</v>
      </c>
      <c r="P140" s="269">
        <v>6.7808900000000003</v>
      </c>
      <c r="Q140" s="302">
        <v>-0.29075002999999999</v>
      </c>
      <c r="R140" s="269">
        <v>43.1646</v>
      </c>
      <c r="S140" s="268"/>
      <c r="T140" s="268" t="s">
        <v>97</v>
      </c>
      <c r="U140" s="268">
        <v>1938</v>
      </c>
      <c r="V140" s="268"/>
      <c r="W140" s="269">
        <v>19.468399000000002</v>
      </c>
      <c r="X140" s="302">
        <v>19.468399000000002</v>
      </c>
      <c r="Y140" s="302">
        <v>6.3613200000000001</v>
      </c>
      <c r="Z140" s="269">
        <v>13.107079000000001</v>
      </c>
      <c r="AA140" s="302">
        <v>6.3613200000000001</v>
      </c>
      <c r="AB140" s="269">
        <v>155.08099000000001</v>
      </c>
    </row>
    <row r="141" spans="10:28">
      <c r="J141" s="268" t="s">
        <v>99</v>
      </c>
      <c r="K141" s="268">
        <v>1939</v>
      </c>
      <c r="L141" s="268">
        <v>150</v>
      </c>
      <c r="M141" s="269">
        <v>5.4120302000000002</v>
      </c>
      <c r="N141" s="302">
        <v>9.6100302000000006</v>
      </c>
      <c r="O141" s="302">
        <v>1.02233</v>
      </c>
      <c r="P141" s="269">
        <v>8.5877000999999993</v>
      </c>
      <c r="Q141" s="302">
        <v>-3.1756698999999999</v>
      </c>
      <c r="R141" s="269">
        <v>43.956001000000001</v>
      </c>
      <c r="S141" s="268"/>
      <c r="T141" s="268" t="s">
        <v>97</v>
      </c>
      <c r="U141" s="268">
        <v>1939</v>
      </c>
      <c r="V141" s="268">
        <v>300</v>
      </c>
      <c r="W141" s="269">
        <v>17.322001</v>
      </c>
      <c r="X141" s="302">
        <v>20.312099</v>
      </c>
      <c r="Y141" s="302">
        <v>3.9966699999999999</v>
      </c>
      <c r="Z141" s="269">
        <v>16.315429000000002</v>
      </c>
      <c r="AA141" s="302">
        <v>1.0065710999999999</v>
      </c>
      <c r="AB141" s="269">
        <v>149.68401</v>
      </c>
    </row>
    <row r="142" spans="10:28">
      <c r="J142" s="268" t="s">
        <v>99</v>
      </c>
      <c r="K142" s="268">
        <v>40</v>
      </c>
      <c r="L142" s="268">
        <v>150</v>
      </c>
      <c r="M142" s="269">
        <v>6.7840198999999997</v>
      </c>
      <c r="N142" s="302">
        <v>8.9390602000000001</v>
      </c>
      <c r="O142" s="302">
        <v>1.0275799999999999</v>
      </c>
      <c r="P142" s="269">
        <v>7.9114801999999997</v>
      </c>
      <c r="Q142" s="302">
        <v>-1.1274602</v>
      </c>
      <c r="R142" s="269">
        <v>42.4161</v>
      </c>
      <c r="S142" s="268"/>
      <c r="T142" s="268" t="s">
        <v>97</v>
      </c>
      <c r="U142" s="268">
        <v>40</v>
      </c>
      <c r="V142" s="268">
        <v>300</v>
      </c>
      <c r="W142" s="269">
        <v>16.280199</v>
      </c>
      <c r="X142" s="302">
        <v>28.379601000000001</v>
      </c>
      <c r="Y142" s="302">
        <v>3.48807</v>
      </c>
      <c r="Z142" s="269">
        <v>24.891531000000001</v>
      </c>
      <c r="AA142" s="302">
        <v>-8.6113315000000004</v>
      </c>
      <c r="AB142" s="269">
        <v>121.059</v>
      </c>
    </row>
    <row r="143" spans="10:28">
      <c r="J143" s="268" t="s">
        <v>99</v>
      </c>
      <c r="K143" s="268">
        <v>1941</v>
      </c>
      <c r="L143" s="268">
        <v>150</v>
      </c>
      <c r="M143" s="269">
        <v>7.2628297999999996</v>
      </c>
      <c r="N143" s="302">
        <v>10.4617</v>
      </c>
      <c r="O143" s="302">
        <v>0.87663197999999998</v>
      </c>
      <c r="P143" s="269">
        <v>9.5850685000000002</v>
      </c>
      <c r="Q143" s="302">
        <v>-2.3222387000000002</v>
      </c>
      <c r="R143" s="269">
        <v>38.643599999999999</v>
      </c>
      <c r="S143" s="268"/>
      <c r="T143" s="268" t="s">
        <v>97</v>
      </c>
      <c r="U143" s="268">
        <v>1941</v>
      </c>
      <c r="V143" s="268">
        <v>300</v>
      </c>
      <c r="W143" s="269">
        <v>18.568501000000001</v>
      </c>
      <c r="X143" s="302">
        <v>50.529400000000003</v>
      </c>
      <c r="Y143" s="302">
        <v>2.9974599</v>
      </c>
      <c r="Z143" s="269">
        <v>47.531939999999999</v>
      </c>
      <c r="AA143" s="302">
        <v>-28.963439000000001</v>
      </c>
      <c r="AB143" s="269">
        <v>133.68700000000001</v>
      </c>
    </row>
    <row r="144" spans="10:28">
      <c r="J144" s="268" t="s">
        <v>99</v>
      </c>
      <c r="K144" s="268">
        <v>1942</v>
      </c>
      <c r="L144" s="268">
        <v>150</v>
      </c>
      <c r="M144" s="269">
        <v>9.3292198000000006</v>
      </c>
      <c r="N144" s="302">
        <v>21.0364</v>
      </c>
      <c r="O144" s="302">
        <v>0.77879202000000003</v>
      </c>
      <c r="P144" s="269">
        <v>20.257608000000001</v>
      </c>
      <c r="Q144" s="302">
        <v>-10.928388</v>
      </c>
      <c r="R144" s="269">
        <v>44.760399</v>
      </c>
      <c r="S144" s="268"/>
      <c r="T144" s="268" t="s">
        <v>97</v>
      </c>
      <c r="U144" s="268">
        <v>1942</v>
      </c>
      <c r="V144" s="268">
        <v>300</v>
      </c>
      <c r="W144" s="269">
        <v>25.053899999999999</v>
      </c>
      <c r="X144" s="302">
        <v>56.630401999999997</v>
      </c>
      <c r="Y144" s="302">
        <v>3.2318598999999999</v>
      </c>
      <c r="Z144" s="269">
        <v>53.398541999999999</v>
      </c>
      <c r="AA144" s="302">
        <v>-28.344642</v>
      </c>
      <c r="AB144" s="269">
        <v>153.20399</v>
      </c>
    </row>
    <row r="145" spans="10:28">
      <c r="J145" s="268" t="s">
        <v>99</v>
      </c>
      <c r="K145" s="268">
        <v>1943</v>
      </c>
      <c r="L145" s="268">
        <v>150</v>
      </c>
      <c r="M145" s="269">
        <v>12.637</v>
      </c>
      <c r="N145" s="302">
        <v>40.003898999999997</v>
      </c>
      <c r="O145" s="302">
        <v>0.91137098999999999</v>
      </c>
      <c r="P145" s="269">
        <v>39.092528000000001</v>
      </c>
      <c r="Q145" s="302">
        <v>-26.455528000000001</v>
      </c>
      <c r="R145" s="269">
        <v>68.899199999999993</v>
      </c>
      <c r="S145" s="268"/>
      <c r="T145" s="268" t="s">
        <v>97</v>
      </c>
      <c r="U145" s="268">
        <v>1943</v>
      </c>
      <c r="V145" s="268">
        <v>300</v>
      </c>
      <c r="W145" s="269">
        <v>28.957599999999999</v>
      </c>
      <c r="X145" s="302">
        <v>62.248600000000003</v>
      </c>
      <c r="Y145" s="302">
        <v>3.6223198999999999</v>
      </c>
      <c r="Z145" s="269">
        <v>58.626280000000001</v>
      </c>
      <c r="AA145" s="302">
        <v>-29.668679999999998</v>
      </c>
      <c r="AB145" s="269">
        <v>173.99199999999999</v>
      </c>
    </row>
    <row r="146" spans="10:28">
      <c r="J146" s="268" t="s">
        <v>99</v>
      </c>
      <c r="K146" s="268">
        <v>1944</v>
      </c>
      <c r="L146" s="268">
        <v>150</v>
      </c>
      <c r="M146" s="269">
        <v>21.755199000000001</v>
      </c>
      <c r="N146" s="302">
        <v>43.234402000000003</v>
      </c>
      <c r="O146" s="302">
        <v>1.1875199999999999</v>
      </c>
      <c r="P146" s="269">
        <v>42.046881999999997</v>
      </c>
      <c r="Q146" s="302">
        <v>-20.291682000000002</v>
      </c>
      <c r="R146" s="269">
        <v>91.489898999999994</v>
      </c>
      <c r="S146" s="268"/>
      <c r="T146" s="268" t="s">
        <v>97</v>
      </c>
      <c r="U146" s="268">
        <v>1944</v>
      </c>
      <c r="V146" s="268">
        <v>300</v>
      </c>
      <c r="W146" s="269">
        <v>33.256698999999998</v>
      </c>
      <c r="X146" s="302">
        <v>62.939399999999999</v>
      </c>
      <c r="Y146" s="302">
        <v>4.1407198999999997</v>
      </c>
      <c r="Z146" s="269">
        <v>58.798679999999997</v>
      </c>
      <c r="AA146" s="302">
        <v>-25.541981</v>
      </c>
      <c r="AB146" s="269">
        <v>200.63498999999999</v>
      </c>
    </row>
    <row r="147" spans="10:28">
      <c r="J147" s="268" t="s">
        <v>99</v>
      </c>
      <c r="K147" s="268">
        <v>1945</v>
      </c>
      <c r="L147" s="268"/>
      <c r="M147" s="269">
        <v>22.484100000000002</v>
      </c>
      <c r="N147" s="302">
        <v>44.082000999999998</v>
      </c>
      <c r="O147" s="302">
        <v>1.6218300000000001</v>
      </c>
      <c r="P147" s="269">
        <v>42.460171000000003</v>
      </c>
      <c r="Q147" s="302">
        <v>-19.97607</v>
      </c>
      <c r="R147" s="269">
        <v>116.001</v>
      </c>
      <c r="S147" s="268"/>
      <c r="T147" s="268" t="s">
        <v>97</v>
      </c>
      <c r="U147" s="268">
        <v>1945</v>
      </c>
      <c r="V147" s="268"/>
      <c r="W147" s="269">
        <v>35.9953</v>
      </c>
      <c r="X147" s="302">
        <v>66.899399000000003</v>
      </c>
      <c r="Y147" s="302">
        <v>4.7560700999999996</v>
      </c>
      <c r="Z147" s="269">
        <v>62.143329000000001</v>
      </c>
      <c r="AA147" s="302">
        <v>-26.148028</v>
      </c>
      <c r="AB147" s="269">
        <v>234.68600000000001</v>
      </c>
    </row>
    <row r="148" spans="10:28">
      <c r="J148" s="268" t="s">
        <v>99</v>
      </c>
      <c r="K148" s="268">
        <v>1946</v>
      </c>
      <c r="L148" s="268"/>
      <c r="M148" s="269">
        <v>19.581600000000002</v>
      </c>
      <c r="N148" s="302">
        <v>27.137198999999999</v>
      </c>
      <c r="O148" s="302">
        <v>2.1241400000000001</v>
      </c>
      <c r="P148" s="269">
        <v>25.013058999999998</v>
      </c>
      <c r="Q148" s="302">
        <v>-5.4314591999999999</v>
      </c>
      <c r="R148" s="269">
        <v>121.19799999999999</v>
      </c>
      <c r="S148" s="268"/>
      <c r="T148" s="268" t="s">
        <v>97</v>
      </c>
      <c r="U148" s="268">
        <v>1946</v>
      </c>
      <c r="V148" s="268"/>
      <c r="W148" s="269">
        <v>38.247101000000001</v>
      </c>
      <c r="X148" s="302">
        <v>60.766101999999997</v>
      </c>
      <c r="Y148" s="302">
        <v>5.1660700000000004</v>
      </c>
      <c r="Z148" s="269">
        <v>55.600031999999999</v>
      </c>
      <c r="AA148" s="302">
        <v>-17.352931000000002</v>
      </c>
      <c r="AB148" s="269">
        <v>269.798</v>
      </c>
    </row>
    <row r="149" spans="10:28">
      <c r="J149" s="268" t="s">
        <v>99</v>
      </c>
      <c r="K149" s="268">
        <v>1947</v>
      </c>
      <c r="L149" s="268"/>
      <c r="M149" s="269">
        <v>17.826000000000001</v>
      </c>
      <c r="N149" s="302">
        <v>15.9261</v>
      </c>
      <c r="O149" s="302">
        <v>2.02861</v>
      </c>
      <c r="P149" s="269">
        <v>13.897489999999999</v>
      </c>
      <c r="Q149" s="302">
        <v>3.9285104</v>
      </c>
      <c r="R149" s="269">
        <v>105.682</v>
      </c>
      <c r="S149" s="268"/>
      <c r="T149" s="268" t="s">
        <v>97</v>
      </c>
      <c r="U149" s="268">
        <v>1947</v>
      </c>
      <c r="V149" s="268"/>
      <c r="W149" s="269">
        <v>34.728000999999999</v>
      </c>
      <c r="X149" s="302">
        <v>50.492401000000001</v>
      </c>
      <c r="Y149" s="302">
        <v>5.1499701</v>
      </c>
      <c r="Z149" s="269">
        <v>45.342430999999998</v>
      </c>
      <c r="AA149" s="302">
        <v>-10.61443</v>
      </c>
      <c r="AB149" s="269">
        <v>264.125</v>
      </c>
    </row>
    <row r="150" spans="10:28">
      <c r="J150" s="268" t="s">
        <v>99</v>
      </c>
      <c r="K150" s="268">
        <v>1948</v>
      </c>
      <c r="L150" s="268"/>
      <c r="M150" s="269">
        <v>16.848801000000002</v>
      </c>
      <c r="N150" s="302">
        <v>12.223800000000001</v>
      </c>
      <c r="O150" s="302">
        <v>1.9329000000000001</v>
      </c>
      <c r="P150" s="269">
        <v>10.290900000000001</v>
      </c>
      <c r="Q150" s="302">
        <v>6.5579008999999999</v>
      </c>
      <c r="R150" s="269">
        <v>93.580200000000005</v>
      </c>
      <c r="S150" s="268"/>
      <c r="T150" s="268" t="s">
        <v>97</v>
      </c>
      <c r="U150" s="268">
        <v>1948</v>
      </c>
      <c r="V150" s="268"/>
      <c r="W150" s="269">
        <v>36.268101000000001</v>
      </c>
      <c r="X150" s="302">
        <v>36.655399000000003</v>
      </c>
      <c r="Y150" s="302">
        <v>4.7684498</v>
      </c>
      <c r="Z150" s="269">
        <v>31.886949999999999</v>
      </c>
      <c r="AA150" s="302">
        <v>4.3811511999999997</v>
      </c>
      <c r="AB150" s="269">
        <v>239.57300000000001</v>
      </c>
    </row>
    <row r="151" spans="10:28">
      <c r="J151" s="268" t="s">
        <v>99</v>
      </c>
      <c r="K151" s="268">
        <v>1949</v>
      </c>
      <c r="L151" s="268"/>
      <c r="M151" s="269">
        <v>15.5541</v>
      </c>
      <c r="N151" s="302">
        <v>14.745799999999999</v>
      </c>
      <c r="O151" s="302">
        <v>1.99454</v>
      </c>
      <c r="P151" s="269">
        <v>12.75126</v>
      </c>
      <c r="Q151" s="302">
        <v>2.8028400000000002</v>
      </c>
      <c r="R151" s="269">
        <v>94.422996999999995</v>
      </c>
      <c r="S151" s="268"/>
      <c r="T151" s="268" t="s">
        <v>97</v>
      </c>
      <c r="U151" s="268">
        <v>1949</v>
      </c>
      <c r="V151" s="268"/>
      <c r="W151" s="269">
        <v>35.613799999999998</v>
      </c>
      <c r="X151" s="302">
        <v>32.602500999999997</v>
      </c>
      <c r="Y151" s="302">
        <v>4.3379998000000004</v>
      </c>
      <c r="Z151" s="269">
        <v>28.264500999999999</v>
      </c>
      <c r="AA151" s="302">
        <v>7.3492990000000002</v>
      </c>
      <c r="AB151" s="269">
        <v>220.27298999999999</v>
      </c>
    </row>
    <row r="152" spans="10:28">
      <c r="J152" s="268" t="s">
        <v>99</v>
      </c>
      <c r="K152" s="268">
        <v>50</v>
      </c>
      <c r="L152" s="268"/>
      <c r="M152" s="269">
        <v>13.934699999999999</v>
      </c>
      <c r="N152" s="302">
        <v>13.4366</v>
      </c>
      <c r="O152" s="302">
        <v>1.9537599999999999</v>
      </c>
      <c r="P152" s="269">
        <v>11.482839999999999</v>
      </c>
      <c r="Q152" s="302">
        <v>2.4518602999999999</v>
      </c>
      <c r="R152" s="269">
        <v>87.447304000000003</v>
      </c>
      <c r="S152" s="268"/>
      <c r="T152" s="268" t="s">
        <v>97</v>
      </c>
      <c r="U152" s="268">
        <v>50</v>
      </c>
      <c r="V152" s="268"/>
      <c r="W152" s="269">
        <v>33.494801000000002</v>
      </c>
      <c r="X152" s="302">
        <v>33.153300999999999</v>
      </c>
      <c r="Y152" s="302">
        <v>4.1895899999999999</v>
      </c>
      <c r="Z152" s="269">
        <v>28.963711</v>
      </c>
      <c r="AA152" s="302">
        <v>4.5310892999999997</v>
      </c>
      <c r="AB152" s="269">
        <v>216.91800000000001</v>
      </c>
    </row>
    <row r="153" spans="10:28">
      <c r="J153" s="268" t="s">
        <v>99</v>
      </c>
      <c r="K153" s="268">
        <v>1951</v>
      </c>
      <c r="L153" s="268"/>
      <c r="M153" s="269">
        <v>15.735300000000001</v>
      </c>
      <c r="N153" s="302">
        <v>12.951499999999999</v>
      </c>
      <c r="O153" s="302">
        <v>1.6532100000000001</v>
      </c>
      <c r="P153" s="269">
        <v>11.29829</v>
      </c>
      <c r="Q153" s="302">
        <v>4.4370101999999996</v>
      </c>
      <c r="R153" s="269">
        <v>75.175797000000003</v>
      </c>
      <c r="S153" s="268"/>
      <c r="T153" s="268" t="s">
        <v>97</v>
      </c>
      <c r="U153" s="268">
        <v>1951</v>
      </c>
      <c r="V153" s="268"/>
      <c r="W153" s="269">
        <v>30.7852</v>
      </c>
      <c r="X153" s="302">
        <v>28.757601000000001</v>
      </c>
      <c r="Y153" s="302">
        <v>3.83202</v>
      </c>
      <c r="Z153" s="269">
        <v>24.925581000000001</v>
      </c>
      <c r="AA153" s="302">
        <v>5.8596193999999997</v>
      </c>
      <c r="AB153" s="269">
        <v>196.76300000000001</v>
      </c>
    </row>
    <row r="154" spans="10:28">
      <c r="J154" s="268" t="s">
        <v>99</v>
      </c>
      <c r="K154" s="268">
        <v>1952</v>
      </c>
      <c r="L154" s="268"/>
      <c r="M154" s="269">
        <v>18.9816</v>
      </c>
      <c r="N154" s="302">
        <v>18.210599999999999</v>
      </c>
      <c r="O154" s="302">
        <v>1.6339300000000001</v>
      </c>
      <c r="P154" s="269">
        <v>16.57667</v>
      </c>
      <c r="Q154" s="302">
        <v>2.4049299</v>
      </c>
      <c r="R154" s="269">
        <v>72.254600999999994</v>
      </c>
      <c r="S154" s="268"/>
      <c r="T154" s="268" t="s">
        <v>97</v>
      </c>
      <c r="U154" s="268">
        <v>1952</v>
      </c>
      <c r="V154" s="268"/>
      <c r="W154" s="269">
        <v>31.608801</v>
      </c>
      <c r="X154" s="302">
        <v>32.873699000000002</v>
      </c>
      <c r="Y154" s="302">
        <v>3.9108299999999998</v>
      </c>
      <c r="Z154" s="269">
        <v>28.962869000000001</v>
      </c>
      <c r="AA154" s="302">
        <v>2.6459317000000002</v>
      </c>
      <c r="AB154" s="269">
        <v>180.858</v>
      </c>
    </row>
    <row r="155" spans="10:28">
      <c r="J155" s="268" t="s">
        <v>99</v>
      </c>
      <c r="K155" s="268">
        <v>1953</v>
      </c>
      <c r="L155" s="268"/>
      <c r="M155" s="269">
        <v>18.844200000000001</v>
      </c>
      <c r="N155" s="302">
        <v>19.510300000000001</v>
      </c>
      <c r="O155" s="302">
        <v>1.7119200000000001</v>
      </c>
      <c r="P155" s="269">
        <v>17.798380000000002</v>
      </c>
      <c r="Q155" s="302">
        <v>1.0458205</v>
      </c>
      <c r="R155" s="269">
        <v>70.037102000000004</v>
      </c>
      <c r="S155" s="268"/>
      <c r="T155" s="268" t="s">
        <v>97</v>
      </c>
      <c r="U155" s="268">
        <v>1953</v>
      </c>
      <c r="V155" s="268"/>
      <c r="W155" s="269">
        <v>29.797899000000001</v>
      </c>
      <c r="X155" s="302">
        <v>32.642299999999999</v>
      </c>
      <c r="Y155" s="302">
        <v>4.1762800000000002</v>
      </c>
      <c r="Z155" s="269">
        <v>28.46602</v>
      </c>
      <c r="AA155" s="302">
        <v>1.3318795999999999</v>
      </c>
      <c r="AB155" s="269">
        <v>169.75800000000001</v>
      </c>
    </row>
    <row r="156" spans="10:28">
      <c r="J156" s="268" t="s">
        <v>99</v>
      </c>
      <c r="K156" s="268">
        <v>1954</v>
      </c>
      <c r="L156" s="268"/>
      <c r="M156" s="269">
        <v>18.830200000000001</v>
      </c>
      <c r="N156" s="302">
        <v>18.601400000000002</v>
      </c>
      <c r="O156" s="302">
        <v>1.67475</v>
      </c>
      <c r="P156" s="269">
        <v>16.926649999999999</v>
      </c>
      <c r="Q156" s="302">
        <v>1.9035498</v>
      </c>
      <c r="R156" s="269">
        <v>71.178100999999998</v>
      </c>
      <c r="S156" s="268"/>
      <c r="T156" s="268" t="s">
        <v>97</v>
      </c>
      <c r="U156" s="268">
        <v>1954</v>
      </c>
      <c r="V156" s="268"/>
      <c r="W156" s="269">
        <v>32.821399999999997</v>
      </c>
      <c r="X156" s="302">
        <v>34.4739</v>
      </c>
      <c r="Y156" s="302">
        <v>3.9130199000000001</v>
      </c>
      <c r="Z156" s="269">
        <v>30.560880000000001</v>
      </c>
      <c r="AA156" s="302">
        <v>2.2605197000000001</v>
      </c>
      <c r="AB156" s="269">
        <v>163.226</v>
      </c>
    </row>
    <row r="157" spans="10:28">
      <c r="J157" s="268" t="s">
        <v>99</v>
      </c>
      <c r="K157" s="268">
        <v>1955</v>
      </c>
      <c r="L157" s="268"/>
      <c r="M157" s="269">
        <v>15.783300000000001</v>
      </c>
      <c r="N157" s="302">
        <v>16.500298999999998</v>
      </c>
      <c r="O157" s="302">
        <v>1.5342899999999999</v>
      </c>
      <c r="P157" s="269">
        <v>14.966009</v>
      </c>
      <c r="Q157" s="302">
        <v>0.81729090000000004</v>
      </c>
      <c r="R157" s="269">
        <v>66.082397</v>
      </c>
      <c r="S157" s="268"/>
      <c r="T157" s="268" t="s">
        <v>97</v>
      </c>
      <c r="U157" s="268">
        <v>1955</v>
      </c>
      <c r="V157" s="268"/>
      <c r="W157" s="269">
        <v>28.2286</v>
      </c>
      <c r="X157" s="302">
        <v>28.618099000000001</v>
      </c>
      <c r="Y157" s="302">
        <v>3.8600298999999998</v>
      </c>
      <c r="Z157" s="269">
        <v>24.758068999999999</v>
      </c>
      <c r="AA157" s="302">
        <v>3.4705303000000001</v>
      </c>
      <c r="AB157" s="269">
        <v>154.18600000000001</v>
      </c>
    </row>
    <row r="158" spans="10:28">
      <c r="J158" s="268" t="s">
        <v>99</v>
      </c>
      <c r="K158" s="268">
        <v>1956</v>
      </c>
      <c r="L158" s="268"/>
      <c r="M158" s="269">
        <v>17.039300999999998</v>
      </c>
      <c r="N158" s="302">
        <v>16.0868</v>
      </c>
      <c r="O158" s="302">
        <v>1.54945</v>
      </c>
      <c r="P158" s="269">
        <v>14.53735</v>
      </c>
      <c r="Q158" s="302">
        <v>2.5019513</v>
      </c>
      <c r="R158" s="269">
        <v>62.271900000000002</v>
      </c>
      <c r="S158" s="268"/>
      <c r="T158" s="268" t="s">
        <v>97</v>
      </c>
      <c r="U158" s="268">
        <v>1956</v>
      </c>
      <c r="V158" s="268"/>
      <c r="W158" s="269">
        <v>31.572800000000001</v>
      </c>
      <c r="X158" s="302">
        <v>31.019600000000001</v>
      </c>
      <c r="Y158" s="302">
        <v>3.8561800000000002</v>
      </c>
      <c r="Z158" s="269">
        <v>27.163419999999999</v>
      </c>
      <c r="AA158" s="302">
        <v>4.4093796999999997</v>
      </c>
      <c r="AB158" s="269">
        <v>143.75899999999999</v>
      </c>
    </row>
    <row r="159" spans="10:28">
      <c r="J159" s="268" t="s">
        <v>99</v>
      </c>
      <c r="K159" s="268">
        <v>1957</v>
      </c>
      <c r="L159" s="268"/>
      <c r="M159" s="269">
        <v>17.3477</v>
      </c>
      <c r="N159" s="302">
        <v>16.628499999999999</v>
      </c>
      <c r="O159" s="302">
        <v>1.5697099999999999</v>
      </c>
      <c r="P159" s="269">
        <v>15.05879</v>
      </c>
      <c r="Q159" s="302">
        <v>2.2889102000000001</v>
      </c>
      <c r="R159" s="269">
        <v>58.619098999999999</v>
      </c>
      <c r="S159" s="268"/>
      <c r="T159" s="268" t="s">
        <v>97</v>
      </c>
      <c r="U159" s="268">
        <v>1957</v>
      </c>
      <c r="V159" s="268"/>
      <c r="W159" s="269">
        <v>31.578699</v>
      </c>
      <c r="X159" s="302">
        <v>32.619399999999999</v>
      </c>
      <c r="Y159" s="302">
        <v>3.5545499</v>
      </c>
      <c r="Z159" s="269">
        <v>29.06485</v>
      </c>
      <c r="AA159" s="302">
        <v>2.513849</v>
      </c>
      <c r="AB159" s="269">
        <v>135.73399000000001</v>
      </c>
    </row>
    <row r="160" spans="10:28">
      <c r="J160" s="268" t="s">
        <v>99</v>
      </c>
      <c r="K160" s="268">
        <v>1958</v>
      </c>
      <c r="L160" s="268"/>
      <c r="M160" s="269">
        <v>17.045400999999998</v>
      </c>
      <c r="N160" s="302">
        <v>17.648001000000001</v>
      </c>
      <c r="O160" s="302">
        <v>1.6257299999999999</v>
      </c>
      <c r="P160" s="269">
        <v>16.022271</v>
      </c>
      <c r="Q160" s="302">
        <v>1.0231299</v>
      </c>
      <c r="R160" s="269">
        <v>59.060299000000001</v>
      </c>
      <c r="S160" s="268"/>
      <c r="T160" s="268" t="s">
        <v>97</v>
      </c>
      <c r="U160" s="268">
        <v>1958</v>
      </c>
      <c r="V160" s="268"/>
      <c r="W160" s="269">
        <v>32.109797999999998</v>
      </c>
      <c r="X160" s="302">
        <v>33.843899</v>
      </c>
      <c r="Y160" s="302">
        <v>3.7716801000000002</v>
      </c>
      <c r="Z160" s="269">
        <v>30.072219</v>
      </c>
      <c r="AA160" s="302">
        <v>2.0375798000000001</v>
      </c>
      <c r="AB160" s="269">
        <v>131.12800999999999</v>
      </c>
    </row>
    <row r="161" spans="10:28">
      <c r="J161" s="268" t="s">
        <v>99</v>
      </c>
      <c r="K161" s="268">
        <v>1959</v>
      </c>
      <c r="L161" s="268"/>
      <c r="M161" s="269">
        <v>15.6433</v>
      </c>
      <c r="N161" s="302">
        <v>18.152201000000002</v>
      </c>
      <c r="O161" s="302">
        <v>1.49641</v>
      </c>
      <c r="P161" s="269">
        <v>16.655791000000001</v>
      </c>
      <c r="Q161" s="302">
        <v>-1.0124906</v>
      </c>
      <c r="R161" s="269">
        <v>56.110698999999997</v>
      </c>
      <c r="S161" s="268"/>
      <c r="T161" s="268" t="s">
        <v>97</v>
      </c>
      <c r="U161" s="268">
        <v>1959</v>
      </c>
      <c r="V161" s="268"/>
      <c r="W161" s="269">
        <v>32.031399</v>
      </c>
      <c r="X161" s="302">
        <v>32.615397999999999</v>
      </c>
      <c r="Y161" s="302">
        <v>3.5453600999999999</v>
      </c>
      <c r="Z161" s="269">
        <v>29.070038</v>
      </c>
      <c r="AA161" s="302">
        <v>2.9613605000000001</v>
      </c>
      <c r="AB161" s="269">
        <v>124.87</v>
      </c>
    </row>
    <row r="162" spans="10:28">
      <c r="J162" s="268" t="s">
        <v>99</v>
      </c>
      <c r="K162" s="268">
        <v>60</v>
      </c>
      <c r="L162" s="268"/>
      <c r="M162" s="269">
        <v>28.098499</v>
      </c>
      <c r="N162" s="302">
        <v>28.288499999999999</v>
      </c>
      <c r="O162" s="302">
        <v>1.4578100000000001</v>
      </c>
      <c r="P162" s="269">
        <v>26.830690000000001</v>
      </c>
      <c r="Q162" s="302">
        <v>1.2678095</v>
      </c>
      <c r="R162" s="269">
        <v>61.724499000000002</v>
      </c>
      <c r="S162" s="268"/>
      <c r="T162" s="268" t="s">
        <v>97</v>
      </c>
      <c r="U162" s="268">
        <v>60</v>
      </c>
      <c r="V162" s="268"/>
      <c r="W162" s="269">
        <v>30.383699</v>
      </c>
      <c r="X162" s="302">
        <v>33.136200000000002</v>
      </c>
      <c r="Y162" s="302">
        <v>3.6969299000000002</v>
      </c>
      <c r="Z162" s="269">
        <v>29.43927</v>
      </c>
      <c r="AA162" s="302">
        <v>0.94442939999999997</v>
      </c>
      <c r="AB162" s="269">
        <v>117.944</v>
      </c>
    </row>
    <row r="163" spans="10:28">
      <c r="J163" s="268" t="s">
        <v>99</v>
      </c>
      <c r="K163" s="268">
        <v>1961</v>
      </c>
      <c r="L163" s="268"/>
      <c r="M163" s="269">
        <v>28.130800000000001</v>
      </c>
      <c r="N163" s="302">
        <v>29.622299000000002</v>
      </c>
      <c r="O163" s="302">
        <v>1.3170599999999999</v>
      </c>
      <c r="P163" s="269">
        <v>28.305239</v>
      </c>
      <c r="Q163" s="302">
        <v>-0.17443895000000001</v>
      </c>
      <c r="R163" s="269">
        <v>62.251399999999997</v>
      </c>
      <c r="S163" s="268"/>
      <c r="T163" s="268" t="s">
        <v>97</v>
      </c>
      <c r="U163" s="268">
        <v>1961</v>
      </c>
      <c r="V163" s="268"/>
      <c r="W163" s="269">
        <v>32.043201000000003</v>
      </c>
      <c r="X163" s="302">
        <v>31.4834</v>
      </c>
      <c r="Y163" s="302">
        <v>3.6489601</v>
      </c>
      <c r="Z163" s="269">
        <v>27.834440000000001</v>
      </c>
      <c r="AA163" s="302">
        <v>4.2087611999999996</v>
      </c>
      <c r="AB163" s="269">
        <v>113.752</v>
      </c>
    </row>
    <row r="164" spans="10:28">
      <c r="J164" s="268" t="s">
        <v>99</v>
      </c>
      <c r="K164" s="268">
        <v>1962</v>
      </c>
      <c r="L164" s="268"/>
      <c r="M164" s="269">
        <v>28.332198999999999</v>
      </c>
      <c r="N164" s="302">
        <v>29.710999999999999</v>
      </c>
      <c r="O164" s="302">
        <v>1.34039</v>
      </c>
      <c r="P164" s="269">
        <v>28.370609999999999</v>
      </c>
      <c r="Q164" s="302">
        <v>-3.8411380000000002E-2</v>
      </c>
      <c r="R164" s="269">
        <v>60.1614</v>
      </c>
      <c r="S164" s="268"/>
      <c r="T164" s="268" t="s">
        <v>97</v>
      </c>
      <c r="U164" s="268">
        <v>1962</v>
      </c>
      <c r="V164" s="268"/>
      <c r="W164" s="269">
        <v>33.299900000000001</v>
      </c>
      <c r="X164" s="302">
        <v>33.785702000000001</v>
      </c>
      <c r="Y164" s="302">
        <v>3.4198301</v>
      </c>
      <c r="Z164" s="269">
        <v>30.365872</v>
      </c>
      <c r="AA164" s="302">
        <v>2.9340283999999999</v>
      </c>
      <c r="AB164" s="269">
        <v>110.521</v>
      </c>
    </row>
    <row r="165" spans="10:28">
      <c r="J165" s="268" t="s">
        <v>99</v>
      </c>
      <c r="K165" s="268">
        <v>1963</v>
      </c>
      <c r="L165" s="268"/>
      <c r="M165" s="269">
        <v>28.8766</v>
      </c>
      <c r="N165" s="302">
        <v>29.524099</v>
      </c>
      <c r="O165" s="302">
        <v>1.39209</v>
      </c>
      <c r="P165" s="269">
        <v>28.132009</v>
      </c>
      <c r="Q165" s="302">
        <v>0.74459087999999995</v>
      </c>
      <c r="R165" s="269">
        <v>58.808601000000003</v>
      </c>
      <c r="S165" s="268"/>
      <c r="T165" s="268" t="s">
        <v>97</v>
      </c>
      <c r="U165" s="268">
        <v>1963</v>
      </c>
      <c r="V165" s="268"/>
      <c r="W165" s="269">
        <v>31.954599000000002</v>
      </c>
      <c r="X165" s="302">
        <v>37.422198999999999</v>
      </c>
      <c r="Y165" s="302">
        <v>3.4522900999999999</v>
      </c>
      <c r="Z165" s="269">
        <v>33.969909000000001</v>
      </c>
      <c r="AA165" s="302">
        <v>-2.0153097999999998</v>
      </c>
      <c r="AB165" s="269">
        <v>108.554</v>
      </c>
    </row>
    <row r="166" spans="10:28">
      <c r="J166" s="268" t="s">
        <v>99</v>
      </c>
      <c r="K166" s="268">
        <v>1964</v>
      </c>
      <c r="L166" s="268"/>
      <c r="M166" s="269">
        <v>27.752300000000002</v>
      </c>
      <c r="N166" s="302">
        <v>28.9389</v>
      </c>
      <c r="O166" s="302">
        <v>1.3862699999999999</v>
      </c>
      <c r="P166" s="269">
        <v>27.552630000000001</v>
      </c>
      <c r="Q166" s="302">
        <v>0.19967030999999999</v>
      </c>
      <c r="R166" s="269">
        <v>56.700499999999998</v>
      </c>
      <c r="S166" s="268"/>
      <c r="T166" s="268" t="s">
        <v>97</v>
      </c>
      <c r="U166" s="268">
        <v>1964</v>
      </c>
      <c r="V166" s="268"/>
      <c r="W166" s="269">
        <v>31.0242</v>
      </c>
      <c r="X166" s="302">
        <v>32.786999000000002</v>
      </c>
      <c r="Y166" s="302">
        <v>3.1542699000000001</v>
      </c>
      <c r="Z166" s="269">
        <v>29.632729000000001</v>
      </c>
      <c r="AA166" s="302">
        <v>1.3914716</v>
      </c>
      <c r="AB166" s="269">
        <v>101.081</v>
      </c>
    </row>
    <row r="167" spans="10:28">
      <c r="J167" s="268" t="s">
        <v>99</v>
      </c>
      <c r="K167" s="268">
        <v>1965</v>
      </c>
      <c r="L167" s="268"/>
      <c r="M167" s="269">
        <v>27.727301000000001</v>
      </c>
      <c r="N167" s="302">
        <v>28.440000999999999</v>
      </c>
      <c r="O167" s="302">
        <v>1.3419099999999999</v>
      </c>
      <c r="P167" s="269">
        <v>27.098091</v>
      </c>
      <c r="Q167" s="302">
        <v>0.62921011000000004</v>
      </c>
      <c r="R167" s="269">
        <v>53.710098000000002</v>
      </c>
      <c r="S167" s="268"/>
      <c r="T167" s="268" t="s">
        <v>97</v>
      </c>
      <c r="U167" s="268">
        <v>1965</v>
      </c>
      <c r="V167" s="268"/>
      <c r="W167" s="269">
        <v>32.511699999999998</v>
      </c>
      <c r="X167" s="302">
        <v>34.569499999999998</v>
      </c>
      <c r="Y167" s="302">
        <v>3.0090200999999999</v>
      </c>
      <c r="Z167" s="269">
        <v>31.560479999999998</v>
      </c>
      <c r="AA167" s="302">
        <v>0.95121979999999995</v>
      </c>
      <c r="AB167" s="269">
        <v>94.606200999999999</v>
      </c>
    </row>
    <row r="168" spans="10:28">
      <c r="J168" s="268" t="s">
        <v>99</v>
      </c>
      <c r="K168" s="268">
        <v>1966</v>
      </c>
      <c r="L168" s="268"/>
      <c r="M168" s="269">
        <v>28.364000000000001</v>
      </c>
      <c r="N168" s="302">
        <v>29.4114</v>
      </c>
      <c r="O168" s="302">
        <v>1.31717</v>
      </c>
      <c r="P168" s="269">
        <v>28.09423</v>
      </c>
      <c r="Q168" s="302">
        <v>0.26977050000000002</v>
      </c>
      <c r="R168" s="269">
        <v>50.648299999999999</v>
      </c>
      <c r="S168" s="268"/>
      <c r="T168" s="268" t="s">
        <v>97</v>
      </c>
      <c r="U168" s="268">
        <v>1966</v>
      </c>
      <c r="V168" s="268"/>
      <c r="W168" s="269">
        <v>34.1325</v>
      </c>
      <c r="X168" s="302">
        <v>35.7258</v>
      </c>
      <c r="Y168" s="302">
        <v>3.0399899000000001</v>
      </c>
      <c r="Z168" s="269">
        <v>32.685809999999996</v>
      </c>
      <c r="AA168" s="302">
        <v>1.4466901000000001</v>
      </c>
      <c r="AB168" s="269">
        <v>91.949303</v>
      </c>
    </row>
    <row r="169" spans="10:28">
      <c r="J169" s="268" t="s">
        <v>99</v>
      </c>
      <c r="K169" s="268">
        <v>1967</v>
      </c>
      <c r="L169" s="268"/>
      <c r="M169" s="269">
        <v>28.785900000000002</v>
      </c>
      <c r="N169" s="302">
        <v>31.332599999999999</v>
      </c>
      <c r="O169" s="302">
        <v>1.3063899999999999</v>
      </c>
      <c r="P169" s="269">
        <v>30.026209999999999</v>
      </c>
      <c r="Q169" s="302">
        <v>-1.2403095</v>
      </c>
      <c r="R169" s="269">
        <v>50.442101000000001</v>
      </c>
      <c r="S169" s="268"/>
      <c r="T169" s="268" t="s">
        <v>97</v>
      </c>
      <c r="U169" s="268">
        <v>1967</v>
      </c>
      <c r="V169" s="268"/>
      <c r="W169" s="269">
        <v>35.504798999999998</v>
      </c>
      <c r="X169" s="302">
        <v>40.073600999999996</v>
      </c>
      <c r="Y169" s="302">
        <v>3.0802200000000002</v>
      </c>
      <c r="Z169" s="269">
        <v>36.993380999999999</v>
      </c>
      <c r="AA169" s="302">
        <v>-1.4885819</v>
      </c>
      <c r="AB169" s="269">
        <v>89.147902999999999</v>
      </c>
    </row>
    <row r="170" spans="10:28">
      <c r="J170" s="268" t="s">
        <v>99</v>
      </c>
      <c r="K170" s="268">
        <v>1968</v>
      </c>
      <c r="L170" s="268"/>
      <c r="M170" s="269">
        <v>30.300599999999999</v>
      </c>
      <c r="N170" s="302">
        <v>31.625</v>
      </c>
      <c r="O170" s="302">
        <v>1.3546199999999999</v>
      </c>
      <c r="P170" s="269">
        <v>30.270379999999999</v>
      </c>
      <c r="Q170" s="302">
        <v>3.0220029999999998E-2</v>
      </c>
      <c r="R170" s="269">
        <v>48.482899000000003</v>
      </c>
      <c r="S170" s="268"/>
      <c r="T170" s="268" t="s">
        <v>97</v>
      </c>
      <c r="U170" s="268">
        <v>1968</v>
      </c>
      <c r="V170" s="268"/>
      <c r="W170" s="269">
        <v>38.046199999999999</v>
      </c>
      <c r="X170" s="302">
        <v>40.343398999999998</v>
      </c>
      <c r="Y170" s="302">
        <v>3.2115200000000002</v>
      </c>
      <c r="Z170" s="269">
        <v>37.131878999999998</v>
      </c>
      <c r="AA170" s="302">
        <v>0.91432071000000004</v>
      </c>
      <c r="AB170" s="269">
        <v>88.548302000000007</v>
      </c>
    </row>
    <row r="171" spans="10:28">
      <c r="J171" s="268" t="s">
        <v>99</v>
      </c>
      <c r="K171" s="268">
        <v>1969</v>
      </c>
      <c r="L171" s="268"/>
      <c r="M171" s="269">
        <v>31.427900000000001</v>
      </c>
      <c r="N171" s="302">
        <v>31.2654</v>
      </c>
      <c r="O171" s="302">
        <v>1.3357699999999999</v>
      </c>
      <c r="P171" s="269">
        <v>29.92963</v>
      </c>
      <c r="Q171" s="302">
        <v>1.4982704</v>
      </c>
      <c r="R171" s="269">
        <v>45.913898000000003</v>
      </c>
      <c r="S171" s="268"/>
      <c r="T171" s="268" t="s">
        <v>97</v>
      </c>
      <c r="U171" s="268">
        <v>1969</v>
      </c>
      <c r="V171" s="268"/>
      <c r="W171" s="269">
        <v>40.241298999999998</v>
      </c>
      <c r="X171" s="302">
        <v>39.215000000000003</v>
      </c>
      <c r="Y171" s="302">
        <v>3.1204299999999998</v>
      </c>
      <c r="Z171" s="269">
        <v>36.094569999999997</v>
      </c>
      <c r="AA171" s="302">
        <v>4.1467285</v>
      </c>
      <c r="AB171" s="269">
        <v>82.837401999999997</v>
      </c>
    </row>
    <row r="172" spans="10:28">
      <c r="J172" s="268" t="s">
        <v>99</v>
      </c>
      <c r="K172" s="268">
        <v>70</v>
      </c>
      <c r="L172" s="268"/>
      <c r="M172" s="269">
        <v>30.240299</v>
      </c>
      <c r="N172" s="302">
        <v>32.303600000000003</v>
      </c>
      <c r="O172" s="302">
        <v>1.4349700000000001</v>
      </c>
      <c r="P172" s="269">
        <v>30.86863</v>
      </c>
      <c r="Q172" s="302">
        <v>-0.62833106999999999</v>
      </c>
      <c r="R172" s="269">
        <v>46.363300000000002</v>
      </c>
      <c r="S172" s="268"/>
      <c r="T172" s="268" t="s">
        <v>97</v>
      </c>
      <c r="U172" s="268">
        <v>70</v>
      </c>
      <c r="V172" s="268"/>
      <c r="W172" s="269">
        <v>44.607399000000001</v>
      </c>
      <c r="X172" s="302">
        <v>42.001499000000003</v>
      </c>
      <c r="Y172" s="302">
        <v>4.0393901000000003</v>
      </c>
      <c r="Z172" s="269">
        <v>37.962108999999998</v>
      </c>
      <c r="AA172" s="302">
        <v>6.6452898999999999</v>
      </c>
      <c r="AB172" s="269">
        <v>73.553116000000003</v>
      </c>
    </row>
    <row r="173" spans="10:28">
      <c r="J173" s="268" t="s">
        <v>99</v>
      </c>
      <c r="K173" s="268">
        <v>1971</v>
      </c>
      <c r="L173" s="268"/>
      <c r="M173" s="269">
        <v>29.702299</v>
      </c>
      <c r="N173" s="302">
        <v>32.468800000000002</v>
      </c>
      <c r="O173" s="302">
        <v>1.37774</v>
      </c>
      <c r="P173" s="269">
        <v>31.091059999999999</v>
      </c>
      <c r="Q173" s="302">
        <v>-1.3887604</v>
      </c>
      <c r="R173" s="269">
        <v>46.991298999999998</v>
      </c>
      <c r="S173" s="268"/>
      <c r="T173" s="268" t="s">
        <v>97</v>
      </c>
      <c r="U173" s="268">
        <v>1971</v>
      </c>
      <c r="V173" s="268"/>
      <c r="W173" s="269">
        <v>42.672798</v>
      </c>
      <c r="X173" s="302">
        <v>41.196998999999998</v>
      </c>
      <c r="Y173" s="302">
        <v>3.7874300000000001</v>
      </c>
      <c r="Z173" s="269">
        <v>37.409568999999998</v>
      </c>
      <c r="AA173" s="302">
        <v>5.2632295999999998</v>
      </c>
      <c r="AB173" s="269">
        <v>68.057768999999993</v>
      </c>
    </row>
    <row r="174" spans="10:28">
      <c r="J174" s="268" t="s">
        <v>99</v>
      </c>
      <c r="K174" s="268">
        <v>1972</v>
      </c>
      <c r="L174" s="268"/>
      <c r="M174" s="269">
        <v>30.903099000000001</v>
      </c>
      <c r="N174" s="302">
        <v>32.262298999999999</v>
      </c>
      <c r="O174" s="302">
        <v>1.3510799</v>
      </c>
      <c r="P174" s="269">
        <v>30.911218999999999</v>
      </c>
      <c r="Q174" s="302">
        <v>-8.1195799999999995E-3</v>
      </c>
      <c r="R174" s="269">
        <v>45.432098000000003</v>
      </c>
      <c r="S174" s="268"/>
      <c r="T174" s="268" t="s">
        <v>97</v>
      </c>
      <c r="U174" s="268">
        <v>1972</v>
      </c>
      <c r="V174" s="268"/>
      <c r="W174" s="269">
        <v>40.619202000000001</v>
      </c>
      <c r="X174" s="302">
        <v>42.276797999999999</v>
      </c>
      <c r="Y174" s="302">
        <v>3.7344501000000001</v>
      </c>
      <c r="Z174" s="269">
        <v>38.542347999999997</v>
      </c>
      <c r="AA174" s="302">
        <v>2.0768534999999999</v>
      </c>
      <c r="AB174" s="269">
        <v>65.156148000000002</v>
      </c>
    </row>
    <row r="175" spans="10:28">
      <c r="J175" s="268" t="s">
        <v>99</v>
      </c>
      <c r="K175" s="268">
        <v>1973</v>
      </c>
      <c r="L175" s="268"/>
      <c r="M175" s="269">
        <v>31.059298999999999</v>
      </c>
      <c r="N175" s="302">
        <v>31.330601000000001</v>
      </c>
      <c r="O175" s="302">
        <v>1.4288000000000001</v>
      </c>
      <c r="P175" s="269">
        <v>29.901800999999999</v>
      </c>
      <c r="Q175" s="302">
        <v>1.1574987000000001</v>
      </c>
      <c r="R175" s="269">
        <v>42.592399999999998</v>
      </c>
      <c r="S175" s="268"/>
      <c r="T175" s="268" t="s">
        <v>97</v>
      </c>
      <c r="U175" s="268">
        <v>1973</v>
      </c>
      <c r="V175" s="268"/>
      <c r="W175" s="269">
        <v>39.2164</v>
      </c>
      <c r="X175" s="302">
        <v>43.510798999999999</v>
      </c>
      <c r="Y175" s="302">
        <v>3.7900299999999998</v>
      </c>
      <c r="Z175" s="269">
        <v>39.720768999999997</v>
      </c>
      <c r="AA175" s="302">
        <v>-0.50436926000000004</v>
      </c>
      <c r="AB175" s="269">
        <v>58.643469000000003</v>
      </c>
    </row>
    <row r="176" spans="10:28">
      <c r="J176" s="268" t="s">
        <v>99</v>
      </c>
      <c r="K176" s="268">
        <v>1974</v>
      </c>
      <c r="L176" s="268"/>
      <c r="M176" s="269">
        <v>31.653299000000001</v>
      </c>
      <c r="N176" s="302">
        <v>32.713698999999998</v>
      </c>
      <c r="O176" s="302">
        <v>1.4171899999999999</v>
      </c>
      <c r="P176" s="269">
        <v>31.296509</v>
      </c>
      <c r="Q176" s="302">
        <v>0.35678995000000002</v>
      </c>
      <c r="R176" s="269">
        <v>41.443100000000001</v>
      </c>
      <c r="S176" s="268"/>
      <c r="T176" s="268" t="s">
        <v>97</v>
      </c>
      <c r="U176" s="268">
        <v>1974</v>
      </c>
      <c r="V176" s="268"/>
      <c r="W176" s="269">
        <v>43.720599999999997</v>
      </c>
      <c r="X176" s="302">
        <v>47.778399999999998</v>
      </c>
      <c r="Y176" s="302">
        <v>4.3441299999999998</v>
      </c>
      <c r="Z176" s="269">
        <v>43.434269999999998</v>
      </c>
      <c r="AA176" s="302">
        <v>0.28632974999999999</v>
      </c>
      <c r="AB176" s="269">
        <v>56.266714999999998</v>
      </c>
    </row>
    <row r="177" spans="10:28">
      <c r="J177" s="268" t="s">
        <v>99</v>
      </c>
      <c r="K177" s="268">
        <v>1975</v>
      </c>
      <c r="L177" s="268"/>
      <c r="M177" s="269">
        <v>29.828899</v>
      </c>
      <c r="N177" s="302">
        <v>35.132098999999997</v>
      </c>
      <c r="O177" s="302">
        <v>1.46549</v>
      </c>
      <c r="P177" s="269">
        <v>33.666609000000001</v>
      </c>
      <c r="Q177" s="302">
        <v>-3.8377097999999998</v>
      </c>
      <c r="R177" s="269">
        <v>44.602699000000001</v>
      </c>
      <c r="S177" s="268"/>
      <c r="T177" s="268" t="s">
        <v>97</v>
      </c>
      <c r="U177" s="268">
        <v>1975</v>
      </c>
      <c r="V177" s="268"/>
      <c r="W177" s="269">
        <v>43.998199</v>
      </c>
      <c r="X177" s="302">
        <v>49.077598999999999</v>
      </c>
      <c r="Y177" s="302">
        <v>4.0625400999999997</v>
      </c>
      <c r="Z177" s="269">
        <v>45.015059000000001</v>
      </c>
      <c r="AA177" s="302">
        <v>-1.0168591</v>
      </c>
      <c r="AB177" s="269">
        <v>51.360863000000002</v>
      </c>
    </row>
    <row r="178" spans="10:28">
      <c r="J178" s="268" t="s">
        <v>99</v>
      </c>
      <c r="K178" s="268">
        <v>1976</v>
      </c>
      <c r="L178" s="268"/>
      <c r="M178" s="269">
        <v>30.533100000000001</v>
      </c>
      <c r="N178" s="302">
        <v>33.964100000000002</v>
      </c>
      <c r="O178" s="302">
        <v>1.6483300000000001</v>
      </c>
      <c r="P178" s="269">
        <v>32.315770000000001</v>
      </c>
      <c r="Q178" s="302">
        <v>-1.7826698000000001</v>
      </c>
      <c r="R178" s="269">
        <v>44.764598999999997</v>
      </c>
      <c r="S178" s="268"/>
      <c r="T178" s="268" t="s">
        <v>97</v>
      </c>
      <c r="U178" s="268">
        <v>1976</v>
      </c>
      <c r="V178" s="268"/>
      <c r="W178" s="269">
        <v>43.599899000000001</v>
      </c>
      <c r="X178" s="302">
        <v>49.213698999999998</v>
      </c>
      <c r="Y178" s="302">
        <v>4.4423598999999996</v>
      </c>
      <c r="Z178" s="269">
        <v>44.771338999999998</v>
      </c>
      <c r="AA178" s="302">
        <v>-1.1714401000000001</v>
      </c>
      <c r="AB178" s="269">
        <v>51.942920999999998</v>
      </c>
    </row>
    <row r="179" spans="10:28">
      <c r="J179" s="268" t="s">
        <v>99</v>
      </c>
      <c r="K179" s="268">
        <v>1977</v>
      </c>
      <c r="L179" s="268"/>
      <c r="M179" s="269">
        <v>30.814599999999999</v>
      </c>
      <c r="N179" s="302">
        <v>33.074299000000003</v>
      </c>
      <c r="O179" s="302">
        <v>1.59473</v>
      </c>
      <c r="P179" s="269">
        <v>31.479569000000001</v>
      </c>
      <c r="Q179" s="302">
        <v>-0.66496884999999994</v>
      </c>
      <c r="R179" s="269">
        <v>43.577202</v>
      </c>
      <c r="S179" s="268"/>
      <c r="T179" s="268" t="s">
        <v>97</v>
      </c>
      <c r="U179" s="268">
        <v>1977</v>
      </c>
      <c r="V179" s="268"/>
      <c r="W179" s="269">
        <v>42.358199999999997</v>
      </c>
      <c r="X179" s="302">
        <v>46.764899999999997</v>
      </c>
      <c r="Y179" s="302">
        <v>4.4951401000000004</v>
      </c>
      <c r="Z179" s="269">
        <v>42.269759999999998</v>
      </c>
      <c r="AA179" s="302">
        <v>8.8439939999999995E-2</v>
      </c>
      <c r="AB179" s="269">
        <v>52.718107000000003</v>
      </c>
    </row>
    <row r="180" spans="10:28">
      <c r="J180" s="268" t="s">
        <v>99</v>
      </c>
      <c r="K180" s="268">
        <v>1978</v>
      </c>
      <c r="L180" s="268"/>
      <c r="M180" s="269">
        <v>30.9025</v>
      </c>
      <c r="N180" s="302">
        <v>32.292099</v>
      </c>
      <c r="O180" s="302">
        <v>1.61853</v>
      </c>
      <c r="P180" s="269">
        <v>30.673569000000001</v>
      </c>
      <c r="Q180" s="302">
        <v>0.22893119000000001</v>
      </c>
      <c r="R180" s="269">
        <v>42.522399999999998</v>
      </c>
      <c r="S180" s="268"/>
      <c r="T180" s="268" t="s">
        <v>97</v>
      </c>
      <c r="U180" s="268">
        <v>1978</v>
      </c>
      <c r="V180" s="268"/>
      <c r="W180" s="269">
        <v>39.534599</v>
      </c>
      <c r="X180" s="302">
        <v>46.163200000000003</v>
      </c>
      <c r="Y180" s="302">
        <v>4.3997598</v>
      </c>
      <c r="Z180" s="269">
        <v>41.763441</v>
      </c>
      <c r="AA180" s="302">
        <v>-2.2288413</v>
      </c>
      <c r="AB180" s="269">
        <v>51.580128000000002</v>
      </c>
    </row>
    <row r="181" spans="10:28">
      <c r="J181" s="268" t="s">
        <v>99</v>
      </c>
      <c r="K181" s="268">
        <v>1979</v>
      </c>
      <c r="L181" s="268"/>
      <c r="M181" s="269">
        <v>31.251498999999999</v>
      </c>
      <c r="N181" s="302">
        <v>32.2896</v>
      </c>
      <c r="O181" s="302">
        <v>1.64995</v>
      </c>
      <c r="P181" s="269">
        <v>30.63965</v>
      </c>
      <c r="Q181" s="302">
        <v>0.61184883000000001</v>
      </c>
      <c r="R181" s="269">
        <v>41.228499999999997</v>
      </c>
      <c r="S181" s="268"/>
      <c r="T181" s="268" t="s">
        <v>97</v>
      </c>
      <c r="U181" s="268">
        <v>1979</v>
      </c>
      <c r="V181" s="268"/>
      <c r="W181" s="269">
        <v>39.345298999999997</v>
      </c>
      <c r="X181" s="302">
        <v>45.137900999999999</v>
      </c>
      <c r="Y181" s="302">
        <v>4.5813097999999997</v>
      </c>
      <c r="Z181" s="269">
        <v>40.556592000000002</v>
      </c>
      <c r="AA181" s="302">
        <v>-1.2112927</v>
      </c>
      <c r="AB181" s="269">
        <v>47.350239999999999</v>
      </c>
    </row>
    <row r="182" spans="10:28">
      <c r="J182" s="268" t="s">
        <v>99</v>
      </c>
      <c r="K182" s="268">
        <v>80</v>
      </c>
      <c r="L182" s="268"/>
      <c r="M182" s="269">
        <v>31.574698999999999</v>
      </c>
      <c r="N182" s="302">
        <v>34.286200999999998</v>
      </c>
      <c r="O182" s="302">
        <v>1.7664</v>
      </c>
      <c r="P182" s="269">
        <v>32.519801000000001</v>
      </c>
      <c r="Q182" s="302">
        <v>-0.94510209999999995</v>
      </c>
      <c r="R182" s="269">
        <v>41.865699999999997</v>
      </c>
      <c r="S182" s="268"/>
      <c r="T182" s="268" t="s">
        <v>97</v>
      </c>
      <c r="U182" s="268">
        <v>80</v>
      </c>
      <c r="V182" s="268"/>
      <c r="W182" s="269">
        <v>41.980400000000003</v>
      </c>
      <c r="X182" s="302">
        <v>47.634399000000002</v>
      </c>
      <c r="Y182" s="302">
        <v>4.8910397999999997</v>
      </c>
      <c r="Z182" s="269">
        <v>42.743360000000003</v>
      </c>
      <c r="AA182" s="302">
        <v>-0.76295948000000002</v>
      </c>
      <c r="AB182" s="269">
        <v>43.888415999999999</v>
      </c>
    </row>
    <row r="183" spans="10:28">
      <c r="J183" s="268" t="s">
        <v>99</v>
      </c>
      <c r="K183" s="268">
        <v>1981</v>
      </c>
      <c r="L183" s="268"/>
      <c r="M183" s="269">
        <v>32.304099999999998</v>
      </c>
      <c r="N183" s="302">
        <v>34.652301999999999</v>
      </c>
      <c r="O183" s="302">
        <v>2.1307399</v>
      </c>
      <c r="P183" s="269">
        <v>32.521562000000003</v>
      </c>
      <c r="Q183" s="302">
        <v>-0.21746182</v>
      </c>
      <c r="R183" s="269">
        <v>41.050300999999997</v>
      </c>
      <c r="S183" s="268"/>
      <c r="T183" s="268" t="s">
        <v>97</v>
      </c>
      <c r="U183" s="268">
        <v>1981</v>
      </c>
      <c r="V183" s="268"/>
      <c r="W183" s="269">
        <v>44.165999999999997</v>
      </c>
      <c r="X183" s="302">
        <v>51.195701999999997</v>
      </c>
      <c r="Y183" s="302">
        <v>5.2287998</v>
      </c>
      <c r="Z183" s="269">
        <v>45.966901999999997</v>
      </c>
      <c r="AA183" s="302">
        <v>-1.8009014000000001</v>
      </c>
      <c r="AB183" s="269">
        <v>44.206342999999997</v>
      </c>
    </row>
    <row r="184" spans="10:28">
      <c r="J184" s="268" t="s">
        <v>99</v>
      </c>
      <c r="K184" s="268">
        <v>1982</v>
      </c>
      <c r="L184" s="268"/>
      <c r="M184" s="269">
        <v>32.025599999999997</v>
      </c>
      <c r="N184" s="302">
        <v>36.986198000000002</v>
      </c>
      <c r="O184" s="302">
        <v>2.4645199999999998</v>
      </c>
      <c r="P184" s="269">
        <v>34.521678000000001</v>
      </c>
      <c r="Q184" s="302">
        <v>-2.4960779999999998</v>
      </c>
      <c r="R184" s="269">
        <v>45.919497999999997</v>
      </c>
      <c r="S184" s="268"/>
      <c r="T184" s="268" t="s">
        <v>97</v>
      </c>
      <c r="U184" s="268">
        <v>1982</v>
      </c>
      <c r="V184" s="268"/>
      <c r="W184" s="269">
        <v>45.092700999999998</v>
      </c>
      <c r="X184" s="302">
        <v>50.750098999999999</v>
      </c>
      <c r="Y184" s="302">
        <v>5.2584299999999997</v>
      </c>
      <c r="Z184" s="269">
        <v>45.491669000000002</v>
      </c>
      <c r="AA184" s="302">
        <v>-0.39896821999999998</v>
      </c>
      <c r="AB184" s="269">
        <v>42.728034000000001</v>
      </c>
    </row>
    <row r="185" spans="10:28">
      <c r="J185" s="268" t="s">
        <v>99</v>
      </c>
      <c r="K185" s="268">
        <v>1983</v>
      </c>
      <c r="L185" s="268"/>
      <c r="M185" s="269">
        <v>31.389700000000001</v>
      </c>
      <c r="N185" s="302">
        <v>37.093299999999999</v>
      </c>
      <c r="O185" s="302">
        <v>2.5943501000000002</v>
      </c>
      <c r="P185" s="269">
        <v>34.498950000000001</v>
      </c>
      <c r="Q185" s="302">
        <v>-3.1092498000000002</v>
      </c>
      <c r="R185" s="269">
        <v>48.931198000000002</v>
      </c>
      <c r="S185" s="268"/>
      <c r="T185" s="268" t="s">
        <v>97</v>
      </c>
      <c r="U185" s="268">
        <v>1983</v>
      </c>
      <c r="V185" s="268"/>
      <c r="W185" s="269">
        <v>44.116599999999998</v>
      </c>
      <c r="X185" s="302">
        <v>50.379100999999999</v>
      </c>
      <c r="Y185" s="302">
        <v>4.9414501</v>
      </c>
      <c r="Z185" s="269">
        <v>45.437651000000002</v>
      </c>
      <c r="AA185" s="302">
        <v>-1.3210506</v>
      </c>
      <c r="AB185" s="269">
        <v>41.735911000000002</v>
      </c>
    </row>
    <row r="186" spans="10:28">
      <c r="J186" s="268" t="s">
        <v>99</v>
      </c>
      <c r="K186" s="268">
        <v>1984</v>
      </c>
      <c r="L186" s="268"/>
      <c r="M186" s="269">
        <v>31.3081</v>
      </c>
      <c r="N186" s="302">
        <v>36.151797999999999</v>
      </c>
      <c r="O186" s="302">
        <v>2.8784599000000002</v>
      </c>
      <c r="P186" s="269">
        <v>33.273338000000003</v>
      </c>
      <c r="Q186" s="302">
        <v>-1.9652385999999999</v>
      </c>
      <c r="R186" s="269">
        <v>50.584099000000002</v>
      </c>
      <c r="S186" s="268"/>
      <c r="T186" s="268" t="s">
        <v>97</v>
      </c>
      <c r="U186" s="268">
        <v>1984</v>
      </c>
      <c r="V186" s="268"/>
      <c r="W186" s="269">
        <v>43.887099999999997</v>
      </c>
      <c r="X186" s="302">
        <v>50.2742</v>
      </c>
      <c r="Y186" s="302">
        <v>5.1212400999999996</v>
      </c>
      <c r="Z186" s="269">
        <v>45.15296</v>
      </c>
      <c r="AA186" s="302">
        <v>-1.2658601</v>
      </c>
      <c r="AB186" s="269">
        <v>41.583948999999997</v>
      </c>
    </row>
    <row r="187" spans="10:28">
      <c r="J187" s="268" t="s">
        <v>99</v>
      </c>
      <c r="K187" s="268">
        <v>1985</v>
      </c>
      <c r="L187" s="268"/>
      <c r="M187" s="269">
        <v>31.818199</v>
      </c>
      <c r="N187" s="302">
        <v>36.927298999999998</v>
      </c>
      <c r="O187" s="302">
        <v>2.9638599999999999</v>
      </c>
      <c r="P187" s="269">
        <v>33.963439000000001</v>
      </c>
      <c r="Q187" s="302">
        <v>-2.1452403000000002</v>
      </c>
      <c r="R187" s="269">
        <v>55.445801000000003</v>
      </c>
      <c r="S187" s="268"/>
      <c r="T187" s="268" t="s">
        <v>97</v>
      </c>
      <c r="U187" s="268">
        <v>1985</v>
      </c>
      <c r="V187" s="268"/>
      <c r="W187" s="269">
        <v>43.123900999999996</v>
      </c>
      <c r="X187" s="302">
        <v>48.696998999999998</v>
      </c>
      <c r="Y187" s="302">
        <v>5.0887098000000002</v>
      </c>
      <c r="Z187" s="269">
        <v>43.608288999999999</v>
      </c>
      <c r="AA187" s="302">
        <v>-0.48438740000000002</v>
      </c>
      <c r="AB187" s="269">
        <v>40.688766000000001</v>
      </c>
    </row>
    <row r="188" spans="10:28">
      <c r="J188" s="268" t="s">
        <v>99</v>
      </c>
      <c r="K188" s="268">
        <v>1986</v>
      </c>
      <c r="L188" s="268"/>
      <c r="M188" s="269">
        <v>32.023701000000003</v>
      </c>
      <c r="N188" s="302">
        <v>37.366698999999997</v>
      </c>
      <c r="O188" s="302">
        <v>2.8424599000000002</v>
      </c>
      <c r="P188" s="269">
        <v>34.524239000000001</v>
      </c>
      <c r="Q188" s="302">
        <v>-2.5005386000000001</v>
      </c>
      <c r="R188" s="269">
        <v>58.884498999999998</v>
      </c>
      <c r="S188" s="268"/>
      <c r="T188" s="268" t="s">
        <v>97</v>
      </c>
      <c r="U188" s="268">
        <v>1986</v>
      </c>
      <c r="V188" s="268"/>
      <c r="W188" s="269">
        <v>42.076400999999997</v>
      </c>
      <c r="X188" s="302">
        <v>44.639702</v>
      </c>
      <c r="Y188" s="302">
        <v>4.7449197999999999</v>
      </c>
      <c r="Z188" s="269">
        <v>39.894781999999999</v>
      </c>
      <c r="AA188" s="302">
        <v>2.1816187</v>
      </c>
      <c r="AB188" s="269">
        <v>41.070568000000002</v>
      </c>
    </row>
    <row r="189" spans="10:28">
      <c r="J189" s="268" t="s">
        <v>99</v>
      </c>
      <c r="K189" s="268">
        <v>1987</v>
      </c>
      <c r="L189" s="268"/>
      <c r="M189" s="269">
        <v>32.765202000000002</v>
      </c>
      <c r="N189" s="302">
        <v>37.166302000000002</v>
      </c>
      <c r="O189" s="302">
        <v>3.0677599999999998</v>
      </c>
      <c r="P189" s="269">
        <v>34.098542000000002</v>
      </c>
      <c r="Q189" s="302">
        <v>-1.3333402000000001</v>
      </c>
      <c r="R189" s="269">
        <v>60.626598000000001</v>
      </c>
      <c r="S189" s="268"/>
      <c r="T189" s="268" t="s">
        <v>97</v>
      </c>
      <c r="U189" s="268">
        <v>1987</v>
      </c>
      <c r="V189" s="268"/>
      <c r="W189" s="269">
        <v>40.882098999999997</v>
      </c>
      <c r="X189" s="302">
        <v>42.667301000000002</v>
      </c>
      <c r="Y189" s="302">
        <v>4.5037197999999998</v>
      </c>
      <c r="Z189" s="269">
        <v>38.163581000000001</v>
      </c>
      <c r="AA189" s="302">
        <v>2.7185177999999999</v>
      </c>
      <c r="AB189" s="269">
        <v>41.264060999999998</v>
      </c>
    </row>
    <row r="190" spans="10:28">
      <c r="J190" s="268" t="s">
        <v>99</v>
      </c>
      <c r="K190" s="268">
        <v>1988</v>
      </c>
      <c r="L190" s="268"/>
      <c r="M190" s="269">
        <v>32.624198999999997</v>
      </c>
      <c r="N190" s="302">
        <v>36.282299000000002</v>
      </c>
      <c r="O190" s="302">
        <v>3.0972900000000001</v>
      </c>
      <c r="P190" s="269">
        <v>33.185009000000001</v>
      </c>
      <c r="Q190" s="302">
        <v>-0.56081009000000004</v>
      </c>
      <c r="R190" s="269">
        <v>61.296700000000001</v>
      </c>
      <c r="S190" s="268"/>
      <c r="T190" s="268" t="s">
        <v>97</v>
      </c>
      <c r="U190" s="268">
        <v>1988</v>
      </c>
      <c r="V190" s="268"/>
      <c r="W190" s="269">
        <v>40.728099999999998</v>
      </c>
      <c r="X190" s="302">
        <v>40.271197999999998</v>
      </c>
      <c r="Y190" s="302">
        <v>4.1139998000000002</v>
      </c>
      <c r="Z190" s="269">
        <v>36.157198000000001</v>
      </c>
      <c r="AA190" s="302">
        <v>4.5709014000000003</v>
      </c>
      <c r="AB190" s="269">
        <v>35.984208000000002</v>
      </c>
    </row>
    <row r="191" spans="10:28">
      <c r="J191" s="268" t="s">
        <v>99</v>
      </c>
      <c r="K191" s="268">
        <v>1989</v>
      </c>
      <c r="L191" s="268"/>
      <c r="M191" s="269">
        <v>32.921500999999999</v>
      </c>
      <c r="N191" s="302">
        <v>36.237800999999997</v>
      </c>
      <c r="O191" s="302">
        <v>3.2660699000000002</v>
      </c>
      <c r="P191" s="269">
        <v>32.971730999999998</v>
      </c>
      <c r="Q191" s="302">
        <v>-5.0229549999999998E-2</v>
      </c>
      <c r="R191" s="269">
        <v>61.570498999999998</v>
      </c>
      <c r="S191" s="268"/>
      <c r="T191" s="268" t="s">
        <v>97</v>
      </c>
      <c r="U191" s="268">
        <v>1989</v>
      </c>
      <c r="V191" s="268"/>
      <c r="W191" s="269">
        <v>40.446998999999998</v>
      </c>
      <c r="X191" s="302">
        <v>39.678199999999997</v>
      </c>
      <c r="Y191" s="302">
        <v>3.9899298999999999</v>
      </c>
      <c r="Z191" s="269">
        <v>35.688270000000003</v>
      </c>
      <c r="AA191" s="302">
        <v>4.7587286999999998</v>
      </c>
      <c r="AB191" s="269">
        <v>30.745132999999999</v>
      </c>
    </row>
    <row r="192" spans="10:28">
      <c r="J192" s="268" t="s">
        <v>99</v>
      </c>
      <c r="K192" s="268">
        <v>90</v>
      </c>
      <c r="L192" s="268"/>
      <c r="M192" s="269">
        <v>32.855701000000003</v>
      </c>
      <c r="N192" s="302">
        <v>37.200499999999998</v>
      </c>
      <c r="O192" s="302">
        <v>3.3871901000000002</v>
      </c>
      <c r="P192" s="269">
        <v>33.813310000000001</v>
      </c>
      <c r="Q192" s="302">
        <v>-0.95760893999999996</v>
      </c>
      <c r="R192" s="269">
        <v>63.142600999999999</v>
      </c>
      <c r="S192" s="268"/>
      <c r="T192" s="268" t="s">
        <v>97</v>
      </c>
      <c r="U192" s="268">
        <v>90</v>
      </c>
      <c r="V192" s="268"/>
      <c r="W192" s="269">
        <v>39.307301000000002</v>
      </c>
      <c r="X192" s="302">
        <v>41.108299000000002</v>
      </c>
      <c r="Y192" s="302">
        <v>3.6650299999999998</v>
      </c>
      <c r="Z192" s="269">
        <v>37.443269000000001</v>
      </c>
      <c r="AA192" s="302">
        <v>1.8640312999999999</v>
      </c>
      <c r="AB192" s="269">
        <v>27.502676000000001</v>
      </c>
    </row>
    <row r="193" spans="10:28">
      <c r="J193" s="268" t="s">
        <v>99</v>
      </c>
      <c r="K193" s="268">
        <v>1991</v>
      </c>
      <c r="L193" s="268"/>
      <c r="M193" s="269">
        <v>32.943401000000001</v>
      </c>
      <c r="N193" s="302">
        <v>37.972499999999997</v>
      </c>
      <c r="O193" s="302">
        <v>3.5880599000000002</v>
      </c>
      <c r="P193" s="269">
        <v>34.384439999999998</v>
      </c>
      <c r="Q193" s="302">
        <v>-1.4410385999999999</v>
      </c>
      <c r="R193" s="269">
        <v>67.880202999999995</v>
      </c>
      <c r="S193" s="268"/>
      <c r="T193" s="268" t="s">
        <v>97</v>
      </c>
      <c r="U193" s="268">
        <v>1991</v>
      </c>
      <c r="V193" s="268"/>
      <c r="W193" s="269">
        <v>39.617198999999999</v>
      </c>
      <c r="X193" s="302">
        <v>42.748199</v>
      </c>
      <c r="Y193" s="302">
        <v>3.11958</v>
      </c>
      <c r="Z193" s="269">
        <v>39.628619</v>
      </c>
      <c r="AA193" s="302">
        <v>-1.142049E-2</v>
      </c>
      <c r="AB193" s="269">
        <v>27.781433</v>
      </c>
    </row>
    <row r="194" spans="10:28">
      <c r="J194" s="268" t="s">
        <v>99</v>
      </c>
      <c r="K194" s="268">
        <v>1992</v>
      </c>
      <c r="L194" s="268"/>
      <c r="M194" s="269">
        <v>32.762999999999998</v>
      </c>
      <c r="N194" s="302">
        <v>38.645699</v>
      </c>
      <c r="O194" s="302">
        <v>3.51844</v>
      </c>
      <c r="P194" s="269">
        <v>35.127259000000002</v>
      </c>
      <c r="Q194" s="302">
        <v>-2.3642580999999998</v>
      </c>
      <c r="R194" s="269">
        <v>70.274199999999993</v>
      </c>
      <c r="S194" s="268"/>
      <c r="T194" s="268" t="s">
        <v>97</v>
      </c>
      <c r="U194" s="268">
        <v>1992</v>
      </c>
      <c r="V194" s="268"/>
      <c r="W194" s="269">
        <v>38.493800999999998</v>
      </c>
      <c r="X194" s="302">
        <v>45.004902000000001</v>
      </c>
      <c r="Y194" s="302">
        <v>3.01261</v>
      </c>
      <c r="Z194" s="269">
        <v>41.992291999999999</v>
      </c>
      <c r="AA194" s="302">
        <v>-3.4984907999999999</v>
      </c>
      <c r="AB194" s="269">
        <v>33.107695999999997</v>
      </c>
    </row>
    <row r="195" spans="10:28">
      <c r="J195" s="268" t="s">
        <v>99</v>
      </c>
      <c r="K195" s="268">
        <v>1993</v>
      </c>
      <c r="L195" s="268"/>
      <c r="M195" s="269">
        <v>33.023398999999998</v>
      </c>
      <c r="N195" s="302">
        <v>38.0989</v>
      </c>
      <c r="O195" s="302">
        <v>3.3971700999999999</v>
      </c>
      <c r="P195" s="269">
        <v>34.701729999999998</v>
      </c>
      <c r="Q195" s="302">
        <v>-1.6783304000000001</v>
      </c>
      <c r="R195" s="269">
        <v>71.876403999999994</v>
      </c>
      <c r="S195" s="268"/>
      <c r="T195" s="268" t="s">
        <v>97</v>
      </c>
      <c r="U195" s="268">
        <v>1993</v>
      </c>
      <c r="V195" s="268"/>
      <c r="W195" s="269">
        <v>37.074199999999998</v>
      </c>
      <c r="X195" s="302">
        <v>45.043700999999999</v>
      </c>
      <c r="Y195" s="302">
        <v>3.0394499000000001</v>
      </c>
      <c r="Z195" s="269">
        <v>42.004250999999996</v>
      </c>
      <c r="AA195" s="302">
        <v>-4.9300515999999996</v>
      </c>
      <c r="AB195" s="269">
        <v>41.325539999999997</v>
      </c>
    </row>
    <row r="196" spans="10:28">
      <c r="J196" s="268" t="s">
        <v>99</v>
      </c>
      <c r="K196" s="268">
        <v>1994</v>
      </c>
      <c r="L196" s="268"/>
      <c r="M196" s="269">
        <v>33.407600000000002</v>
      </c>
      <c r="N196" s="302">
        <v>37.109698999999999</v>
      </c>
      <c r="O196" s="302">
        <v>3.3524300999999999</v>
      </c>
      <c r="P196" s="269">
        <v>33.757269000000001</v>
      </c>
      <c r="Q196" s="302">
        <v>-0.34966873999999998</v>
      </c>
      <c r="R196" s="269">
        <v>71.084198000000001</v>
      </c>
      <c r="S196" s="268"/>
      <c r="T196" s="268" t="s">
        <v>97</v>
      </c>
      <c r="U196" s="268">
        <v>1994</v>
      </c>
      <c r="V196" s="268"/>
      <c r="W196" s="269">
        <v>37.577399999999997</v>
      </c>
      <c r="X196" s="302">
        <v>44.415798000000002</v>
      </c>
      <c r="Y196" s="302">
        <v>3.2881200000000002</v>
      </c>
      <c r="Z196" s="269">
        <v>41.127678000000003</v>
      </c>
      <c r="AA196" s="302">
        <v>-3.5502779000000002</v>
      </c>
      <c r="AB196" s="269">
        <v>39.958069000000002</v>
      </c>
    </row>
    <row r="197" spans="10:28">
      <c r="J197" s="268" t="s">
        <v>99</v>
      </c>
      <c r="K197" s="268">
        <v>1995</v>
      </c>
      <c r="L197" s="268"/>
      <c r="M197" s="269">
        <v>33.782600000000002</v>
      </c>
      <c r="N197" s="302">
        <v>37.081099999999999</v>
      </c>
      <c r="O197" s="302">
        <v>3.5483899000000001</v>
      </c>
      <c r="P197" s="269">
        <v>33.532710999999999</v>
      </c>
      <c r="Q197" s="302">
        <v>0.24988985</v>
      </c>
      <c r="R197" s="269">
        <v>70.665298000000007</v>
      </c>
      <c r="S197" s="268"/>
      <c r="T197" s="268" t="s">
        <v>97</v>
      </c>
      <c r="U197" s="268">
        <v>1995</v>
      </c>
      <c r="V197" s="268"/>
      <c r="W197" s="269">
        <v>37.987099000000001</v>
      </c>
      <c r="X197" s="302">
        <v>43.902301999999999</v>
      </c>
      <c r="Y197" s="302">
        <v>3.5715001000000002</v>
      </c>
      <c r="Z197" s="269">
        <v>40.330801999999998</v>
      </c>
      <c r="AA197" s="302">
        <v>-2.3437030000000001</v>
      </c>
      <c r="AB197" s="269">
        <v>44.331057999999999</v>
      </c>
    </row>
    <row r="198" spans="10:28">
      <c r="J198" s="268" t="s">
        <v>99</v>
      </c>
      <c r="K198" s="268">
        <v>1996</v>
      </c>
      <c r="L198" s="268"/>
      <c r="M198" s="269">
        <v>34.260502000000002</v>
      </c>
      <c r="N198" s="302">
        <v>36.551399000000004</v>
      </c>
      <c r="O198" s="302">
        <v>3.3928799999999999</v>
      </c>
      <c r="P198" s="269">
        <v>33.158518999999998</v>
      </c>
      <c r="Q198" s="302">
        <v>1.1019825999999999</v>
      </c>
      <c r="R198" s="269">
        <v>69.900101000000006</v>
      </c>
      <c r="S198" s="268"/>
      <c r="T198" s="268" t="s">
        <v>97</v>
      </c>
      <c r="U198" s="268">
        <v>1996</v>
      </c>
      <c r="V198" s="268"/>
      <c r="W198" s="269">
        <v>38.0154</v>
      </c>
      <c r="X198" s="302">
        <v>42.277099999999997</v>
      </c>
      <c r="Y198" s="302">
        <v>3.5654099000000001</v>
      </c>
      <c r="Z198" s="269">
        <v>38.711689999999997</v>
      </c>
      <c r="AA198" s="302">
        <v>-0.69628977999999997</v>
      </c>
      <c r="AB198" s="269">
        <v>43.926355999999998</v>
      </c>
    </row>
    <row r="199" spans="10:28">
      <c r="J199" s="268" t="s">
        <v>99</v>
      </c>
      <c r="K199" s="268">
        <v>1997</v>
      </c>
      <c r="L199" s="268"/>
      <c r="M199" s="269">
        <v>34.553299000000003</v>
      </c>
      <c r="N199" s="302">
        <v>35.438400000000001</v>
      </c>
      <c r="O199" s="302">
        <v>3.2226800999999998</v>
      </c>
      <c r="P199" s="269">
        <v>32.215719999999997</v>
      </c>
      <c r="Q199" s="302">
        <v>2.3375788000000002</v>
      </c>
      <c r="R199" s="269">
        <v>67.430098999999998</v>
      </c>
      <c r="S199" s="268"/>
      <c r="T199" s="268" t="s">
        <v>97</v>
      </c>
      <c r="U199" s="268">
        <v>1997</v>
      </c>
      <c r="V199" s="268"/>
      <c r="W199" s="269">
        <v>38.338799000000002</v>
      </c>
      <c r="X199" s="302">
        <v>40.513699000000003</v>
      </c>
      <c r="Y199" s="302">
        <v>3.5610298999999999</v>
      </c>
      <c r="Z199" s="269">
        <v>36.952669</v>
      </c>
      <c r="AA199" s="302">
        <v>1.3861299</v>
      </c>
      <c r="AB199" s="269">
        <v>43.234462000000001</v>
      </c>
    </row>
    <row r="200" spans="10:28">
      <c r="J200" s="268" t="s">
        <v>99</v>
      </c>
      <c r="K200" s="268">
        <v>1998</v>
      </c>
      <c r="L200" s="268"/>
      <c r="M200" s="269">
        <v>34.929001</v>
      </c>
      <c r="N200" s="302">
        <v>34.622298999999998</v>
      </c>
      <c r="O200" s="302">
        <v>3.0769999000000001</v>
      </c>
      <c r="P200" s="269">
        <v>31.545299</v>
      </c>
      <c r="Q200" s="302">
        <v>3.3837016000000002</v>
      </c>
      <c r="R200" s="269">
        <v>64.212097</v>
      </c>
      <c r="S200" s="268"/>
      <c r="T200" s="268" t="s">
        <v>97</v>
      </c>
      <c r="U200" s="268">
        <v>1998</v>
      </c>
      <c r="V200" s="268"/>
      <c r="W200" s="269">
        <v>39.360698999999997</v>
      </c>
      <c r="X200" s="302">
        <v>39.468800000000002</v>
      </c>
      <c r="Y200" s="302">
        <v>3.4655000999999999</v>
      </c>
      <c r="Z200" s="269">
        <v>36.003298999999998</v>
      </c>
      <c r="AA200" s="302">
        <v>3.3573992000000001</v>
      </c>
      <c r="AB200" s="269">
        <v>40.890478000000002</v>
      </c>
    </row>
    <row r="201" spans="10:28">
      <c r="J201" s="268" t="s">
        <v>99</v>
      </c>
      <c r="K201" s="268">
        <v>1999</v>
      </c>
      <c r="L201" s="268"/>
      <c r="M201" s="269">
        <v>34.884799999999998</v>
      </c>
      <c r="N201" s="302">
        <v>34.195498999999998</v>
      </c>
      <c r="O201" s="302">
        <v>2.7048700000000001</v>
      </c>
      <c r="P201" s="269">
        <v>31.490628999999998</v>
      </c>
      <c r="Q201" s="302">
        <v>3.3941705</v>
      </c>
      <c r="R201" s="269">
        <v>60.502898999999999</v>
      </c>
      <c r="S201" s="268"/>
      <c r="T201" s="268" t="s">
        <v>97</v>
      </c>
      <c r="U201" s="268">
        <v>1999</v>
      </c>
      <c r="V201" s="268"/>
      <c r="W201" s="269">
        <v>39.793598000000003</v>
      </c>
      <c r="X201" s="302">
        <v>38.875500000000002</v>
      </c>
      <c r="Y201" s="302">
        <v>2.8319299</v>
      </c>
      <c r="Z201" s="269">
        <v>36.043570000000003</v>
      </c>
      <c r="AA201" s="302">
        <v>3.7500284000000002</v>
      </c>
      <c r="AB201" s="269">
        <v>39.418793000000001</v>
      </c>
    </row>
    <row r="202" spans="10:28">
      <c r="J202" s="268" t="s">
        <v>99</v>
      </c>
      <c r="K202" s="268">
        <v>2000</v>
      </c>
      <c r="L202" s="268"/>
      <c r="M202" s="269">
        <v>35.353298000000002</v>
      </c>
      <c r="N202" s="302">
        <v>33.880699</v>
      </c>
      <c r="O202" s="302">
        <v>2.45818</v>
      </c>
      <c r="P202" s="269">
        <v>31.422519000000001</v>
      </c>
      <c r="Q202" s="302">
        <v>3.9307789999999998</v>
      </c>
      <c r="R202" s="269">
        <v>54.522598000000002</v>
      </c>
      <c r="S202" s="268"/>
      <c r="T202" s="268" t="s">
        <v>97</v>
      </c>
      <c r="U202" s="268">
        <v>2000</v>
      </c>
      <c r="V202" s="268"/>
      <c r="W202" s="269">
        <v>40.353298000000002</v>
      </c>
      <c r="X202" s="302">
        <v>36.762099999999997</v>
      </c>
      <c r="Y202" s="302">
        <v>2.7153999999999998</v>
      </c>
      <c r="Z202" s="269">
        <v>34.046700000000001</v>
      </c>
      <c r="AA202" s="302">
        <v>6.3065978999999999</v>
      </c>
      <c r="AB202" s="269">
        <v>37.762948999999999</v>
      </c>
    </row>
    <row r="203" spans="10:28">
      <c r="J203" s="268" t="s">
        <v>99</v>
      </c>
      <c r="K203" s="268">
        <v>2001</v>
      </c>
      <c r="L203" s="268"/>
      <c r="M203" s="269">
        <v>32.257173999999999</v>
      </c>
      <c r="N203" s="302">
        <v>32.793939000000002</v>
      </c>
      <c r="O203" s="302">
        <v>3.2559670999999999</v>
      </c>
      <c r="P203" s="269">
        <v>29.537972</v>
      </c>
      <c r="Q203" s="302">
        <v>2.7192028000000001</v>
      </c>
      <c r="R203" s="269">
        <v>53.146247000000002</v>
      </c>
      <c r="S203" s="268"/>
      <c r="T203" s="268" t="s">
        <v>97</v>
      </c>
      <c r="U203" s="268">
        <v>2001</v>
      </c>
      <c r="V203" s="268"/>
      <c r="W203" s="269">
        <v>40.650798999999999</v>
      </c>
      <c r="X203" s="302">
        <v>40.165401000000003</v>
      </c>
      <c r="Y203" s="302">
        <v>2.3267801000000001</v>
      </c>
      <c r="Z203" s="269">
        <v>37.838621000000003</v>
      </c>
      <c r="AA203" s="302">
        <v>2.8121773999999999</v>
      </c>
      <c r="AB203" s="269">
        <v>35.083618999999999</v>
      </c>
    </row>
    <row r="204" spans="10:28">
      <c r="J204" s="268" t="s">
        <v>99</v>
      </c>
      <c r="K204" s="268">
        <v>2002</v>
      </c>
      <c r="L204" s="268"/>
      <c r="M204" s="269">
        <v>29.877016000000001</v>
      </c>
      <c r="N204" s="302">
        <v>33.691437999999998</v>
      </c>
      <c r="O204" s="302">
        <v>2.8918575</v>
      </c>
      <c r="P204" s="269">
        <v>30.799581</v>
      </c>
      <c r="Q204" s="302">
        <v>-0.92256453000000005</v>
      </c>
      <c r="R204" s="269">
        <v>55.537858</v>
      </c>
      <c r="S204" s="268"/>
      <c r="T204" s="268" t="s">
        <v>97</v>
      </c>
      <c r="U204" s="268">
        <v>2002</v>
      </c>
      <c r="V204" s="268"/>
      <c r="W204" s="269">
        <v>39.023997999999999</v>
      </c>
      <c r="X204" s="302">
        <v>41.102200000000003</v>
      </c>
      <c r="Y204" s="302">
        <v>1.9956</v>
      </c>
      <c r="Z204" s="269">
        <v>39.1066</v>
      </c>
      <c r="AA204" s="302">
        <v>-8.2601309999999997E-2</v>
      </c>
      <c r="AB204" s="269">
        <v>35.467381000000003</v>
      </c>
    </row>
    <row r="205" spans="10:28">
      <c r="J205" s="268" t="s">
        <v>99</v>
      </c>
      <c r="K205" s="268">
        <v>2003</v>
      </c>
      <c r="L205" s="268"/>
      <c r="M205" s="269">
        <v>29.266456999999999</v>
      </c>
      <c r="N205" s="302">
        <v>34.030715999999998</v>
      </c>
      <c r="O205" s="302">
        <v>2.6582143999999999</v>
      </c>
      <c r="P205" s="269">
        <v>31.372502000000001</v>
      </c>
      <c r="Q205" s="302">
        <v>-2.1060450999999998</v>
      </c>
      <c r="R205" s="269">
        <v>58.624538999999999</v>
      </c>
      <c r="S205" s="268"/>
      <c r="T205" s="268" t="s">
        <v>97</v>
      </c>
      <c r="U205" s="268">
        <v>2003</v>
      </c>
      <c r="V205" s="268"/>
      <c r="W205" s="269">
        <v>38.720500999999999</v>
      </c>
      <c r="X205" s="302">
        <v>42.121200999999999</v>
      </c>
      <c r="Y205" s="302">
        <v>1.98027</v>
      </c>
      <c r="Z205" s="269">
        <v>40.140931000000002</v>
      </c>
      <c r="AA205" s="302">
        <v>-1.4204296000000001</v>
      </c>
      <c r="AB205" s="269">
        <v>36.715954000000004</v>
      </c>
    </row>
    <row r="206" spans="10:28">
      <c r="J206" s="268" t="s">
        <v>99</v>
      </c>
      <c r="K206" s="268">
        <v>2004</v>
      </c>
      <c r="L206" s="268"/>
      <c r="M206" s="269">
        <v>29.475504999999998</v>
      </c>
      <c r="N206" s="302">
        <v>33.712662999999999</v>
      </c>
      <c r="O206" s="302">
        <v>2.5631457000000002</v>
      </c>
      <c r="P206" s="269">
        <v>31.149516999999999</v>
      </c>
      <c r="Q206" s="302">
        <v>-1.6740122</v>
      </c>
      <c r="R206" s="269">
        <v>66.162750000000003</v>
      </c>
      <c r="S206" s="268"/>
      <c r="T206" s="268" t="s">
        <v>97</v>
      </c>
      <c r="U206" s="268">
        <v>2004</v>
      </c>
      <c r="V206" s="268"/>
      <c r="W206" s="269">
        <v>39.492699000000002</v>
      </c>
      <c r="X206" s="302">
        <v>42.958500000000001</v>
      </c>
      <c r="Y206" s="302">
        <v>1.9586300000000001</v>
      </c>
      <c r="Z206" s="269">
        <v>40.999870000000001</v>
      </c>
      <c r="AA206" s="302">
        <v>-1.5071713</v>
      </c>
      <c r="AB206" s="269">
        <v>39.796869999999998</v>
      </c>
    </row>
    <row r="207" spans="10:28">
      <c r="J207" s="268" t="s">
        <v>99</v>
      </c>
      <c r="K207" s="268">
        <v>2005</v>
      </c>
      <c r="L207" s="268"/>
      <c r="M207" s="269">
        <v>30.852920000000001</v>
      </c>
      <c r="N207" s="302">
        <v>33.921183999999997</v>
      </c>
      <c r="O207" s="302">
        <v>2.7038929</v>
      </c>
      <c r="P207" s="269">
        <v>31.217290999999999</v>
      </c>
      <c r="Q207" s="302">
        <v>-0.36437050999999998</v>
      </c>
      <c r="R207" s="269">
        <v>65.514656000000002</v>
      </c>
      <c r="S207" s="268"/>
      <c r="T207" s="268" t="s">
        <v>97</v>
      </c>
      <c r="U207" s="268">
        <v>2005</v>
      </c>
      <c r="V207" s="268"/>
      <c r="W207" s="269">
        <v>40.671799</v>
      </c>
      <c r="X207" s="302">
        <v>44.092201000000003</v>
      </c>
      <c r="Y207" s="302">
        <v>2.0984001000000001</v>
      </c>
      <c r="Z207" s="269">
        <v>41.993800999999998</v>
      </c>
      <c r="AA207" s="302">
        <v>-1.3220023999999999</v>
      </c>
      <c r="AB207" s="269">
        <v>40.973782</v>
      </c>
    </row>
    <row r="208" spans="10:28">
      <c r="J208" s="268" t="s">
        <v>99</v>
      </c>
      <c r="K208" s="268">
        <v>2006</v>
      </c>
      <c r="L208" s="268"/>
      <c r="M208" s="269">
        <v>31.655650000000001</v>
      </c>
      <c r="N208" s="302">
        <v>33.684871000000001</v>
      </c>
      <c r="O208" s="302">
        <v>2.7752903</v>
      </c>
      <c r="P208" s="269">
        <v>30.909579999999998</v>
      </c>
      <c r="Q208" s="302">
        <v>0.74606965999999997</v>
      </c>
      <c r="R208" s="269">
        <v>64.246229</v>
      </c>
      <c r="S208" s="268"/>
      <c r="T208" s="268" t="s">
        <v>97</v>
      </c>
      <c r="U208" s="268">
        <v>2006</v>
      </c>
      <c r="V208" s="268"/>
      <c r="W208" s="269">
        <v>41.454200999999998</v>
      </c>
      <c r="X208" s="302">
        <v>44.178600000000003</v>
      </c>
      <c r="Y208" s="302">
        <v>2.0550999999999999</v>
      </c>
      <c r="Z208" s="269">
        <v>42.1235</v>
      </c>
      <c r="AA208" s="302">
        <v>-0.66929959999999999</v>
      </c>
      <c r="AB208" s="269">
        <v>41.924953000000002</v>
      </c>
    </row>
    <row r="209" spans="10:28">
      <c r="J209" s="268" t="s">
        <v>99</v>
      </c>
      <c r="K209" s="268">
        <v>2007</v>
      </c>
      <c r="L209" s="268"/>
      <c r="M209" s="269">
        <v>31.648707000000002</v>
      </c>
      <c r="N209" s="302">
        <v>34.554411999999999</v>
      </c>
      <c r="O209" s="302">
        <v>2.9326976999999999</v>
      </c>
      <c r="P209" s="269">
        <v>31.621714000000001</v>
      </c>
      <c r="Q209" s="302">
        <v>2.6992760000000001E-2</v>
      </c>
      <c r="R209" s="269">
        <v>64.633600999999999</v>
      </c>
      <c r="S209" s="268"/>
      <c r="T209" s="268" t="s">
        <v>97</v>
      </c>
      <c r="U209" s="268">
        <v>2007</v>
      </c>
      <c r="V209" s="268"/>
      <c r="W209" s="269">
        <v>41.142600999999999</v>
      </c>
      <c r="X209" s="302">
        <v>43.883499</v>
      </c>
      <c r="Y209" s="302">
        <v>2.22052</v>
      </c>
      <c r="Z209" s="269">
        <v>41.662979</v>
      </c>
      <c r="AA209" s="302">
        <v>-0.52037811</v>
      </c>
      <c r="AB209" s="269">
        <v>42.956063999999998</v>
      </c>
    </row>
    <row r="210" spans="10:28">
      <c r="J210" s="268" t="s">
        <v>99</v>
      </c>
      <c r="K210" s="268">
        <v>2008</v>
      </c>
      <c r="L210" s="268"/>
      <c r="M210" s="269">
        <v>30.531603</v>
      </c>
      <c r="N210" s="302">
        <v>37.136046</v>
      </c>
      <c r="O210" s="302">
        <v>2.7761893</v>
      </c>
      <c r="P210" s="269">
        <v>34.359856000000001</v>
      </c>
      <c r="Q210" s="302">
        <v>-3.8282531999999998</v>
      </c>
      <c r="R210" s="269">
        <v>73.481680999999995</v>
      </c>
      <c r="S210" s="268"/>
      <c r="T210" s="268" t="s">
        <v>97</v>
      </c>
      <c r="U210" s="268">
        <v>2008</v>
      </c>
      <c r="V210" s="268"/>
      <c r="W210" s="269">
        <v>42.853198999999996</v>
      </c>
      <c r="X210" s="302">
        <v>47.831099999999999</v>
      </c>
      <c r="Y210" s="302">
        <v>2.2654098999999999</v>
      </c>
      <c r="Z210" s="269">
        <v>45.565691000000001</v>
      </c>
      <c r="AA210" s="302">
        <v>-2.7124915000000001</v>
      </c>
      <c r="AB210" s="269">
        <v>50.663580000000003</v>
      </c>
    </row>
    <row r="211" spans="10:28">
      <c r="J211" s="268" t="s">
        <v>99</v>
      </c>
      <c r="K211" s="268">
        <v>2009</v>
      </c>
      <c r="L211" s="268"/>
      <c r="M211" s="269">
        <v>28.221831999999999</v>
      </c>
      <c r="N211" s="302">
        <v>41.392108999999998</v>
      </c>
      <c r="O211" s="302">
        <v>2.5741380999999999</v>
      </c>
      <c r="P211" s="269">
        <v>38.817971</v>
      </c>
      <c r="Q211" s="302">
        <v>-10.596139000000001</v>
      </c>
      <c r="R211" s="269">
        <v>86.651814000000002</v>
      </c>
      <c r="S211" s="268"/>
      <c r="T211" s="268" t="s">
        <v>97</v>
      </c>
      <c r="U211" s="268">
        <v>2009</v>
      </c>
      <c r="V211" s="268"/>
      <c r="W211" s="269">
        <v>40.0625</v>
      </c>
      <c r="X211" s="302">
        <v>51.458801000000001</v>
      </c>
      <c r="Y211" s="302">
        <v>1.8798999999999999</v>
      </c>
      <c r="Z211" s="269">
        <v>49.578901000000002</v>
      </c>
      <c r="AA211" s="302">
        <v>-9.5164013000000001</v>
      </c>
      <c r="AB211" s="269">
        <v>64.568241</v>
      </c>
    </row>
    <row r="212" spans="10:28">
      <c r="J212" s="268" t="s">
        <v>99</v>
      </c>
      <c r="K212" s="268">
        <v>10</v>
      </c>
      <c r="L212" s="268"/>
      <c r="M212" s="269">
        <v>28.770098999999998</v>
      </c>
      <c r="N212" s="302">
        <v>39.752817</v>
      </c>
      <c r="O212" s="302">
        <v>2.6780761000000002</v>
      </c>
      <c r="P212" s="269">
        <v>37.074741000000003</v>
      </c>
      <c r="Q212" s="302">
        <v>-8.3046419999999994</v>
      </c>
      <c r="R212" s="269">
        <v>95.209541000000002</v>
      </c>
      <c r="S212" s="268"/>
      <c r="T212" s="268" t="s">
        <v>97</v>
      </c>
      <c r="U212" s="268">
        <v>10</v>
      </c>
      <c r="V212" s="268"/>
      <c r="W212" s="269">
        <v>40.281300000000002</v>
      </c>
      <c r="X212" s="302">
        <v>50.562697999999997</v>
      </c>
      <c r="Y212" s="302">
        <v>2.8853900000000001</v>
      </c>
      <c r="Z212" s="269">
        <v>47.677307999999996</v>
      </c>
      <c r="AA212" s="302">
        <v>-7.3960087000000003</v>
      </c>
      <c r="AB212" s="269">
        <v>75.688858999999994</v>
      </c>
    </row>
    <row r="213" spans="10:28">
      <c r="J213" s="268" t="s">
        <v>99</v>
      </c>
      <c r="K213" s="268">
        <v>2011</v>
      </c>
      <c r="L213" s="268"/>
      <c r="M213" s="269">
        <v>29.080410000000001</v>
      </c>
      <c r="N213" s="302">
        <v>38.783349999999999</v>
      </c>
      <c r="O213" s="302">
        <v>2.8794802000000002</v>
      </c>
      <c r="P213" s="269">
        <v>35.903869999999998</v>
      </c>
      <c r="Q213" s="302">
        <v>-6.8234599999999999</v>
      </c>
      <c r="R213" s="269">
        <v>99.548222999999993</v>
      </c>
      <c r="S213" s="268"/>
      <c r="T213" s="268" t="s">
        <v>97</v>
      </c>
      <c r="U213" s="268">
        <v>2011</v>
      </c>
      <c r="V213" s="268"/>
      <c r="W213" s="269">
        <v>35.955781000000002</v>
      </c>
      <c r="X213" s="302">
        <v>43.391680000000001</v>
      </c>
      <c r="Y213" s="302">
        <v>3.1073807000000002</v>
      </c>
      <c r="Z213" s="269">
        <v>40.284298999999997</v>
      </c>
      <c r="AA213" s="302">
        <v>-4.3285181000000001</v>
      </c>
      <c r="AB213" s="269">
        <v>81.087613000000005</v>
      </c>
    </row>
    <row r="214" spans="10:28">
      <c r="J214" s="268" t="s">
        <v>99</v>
      </c>
      <c r="K214" s="268">
        <v>2012</v>
      </c>
      <c r="L214" s="268"/>
      <c r="M214" s="269">
        <v>29.108961000000001</v>
      </c>
      <c r="N214" s="302">
        <v>37.210506000000002</v>
      </c>
      <c r="O214" s="302">
        <v>2.7263896000000001</v>
      </c>
      <c r="P214" s="269">
        <v>34.484116</v>
      </c>
      <c r="Q214" s="302">
        <v>-5.3751550000000003</v>
      </c>
      <c r="R214" s="269">
        <v>103.09819</v>
      </c>
      <c r="S214" s="268"/>
      <c r="T214" s="268" t="s">
        <v>97</v>
      </c>
      <c r="U214" s="268">
        <v>2012</v>
      </c>
      <c r="V214" s="268"/>
      <c r="W214" s="269">
        <v>35.908107000000001</v>
      </c>
      <c r="X214" s="302">
        <v>43.477725</v>
      </c>
      <c r="Y214" s="302">
        <v>2.8220209999999999</v>
      </c>
      <c r="Z214" s="269">
        <v>40.655704</v>
      </c>
      <c r="AA214" s="302">
        <v>-4.7475971000000001</v>
      </c>
      <c r="AB214" s="269">
        <v>84.107635999999999</v>
      </c>
    </row>
    <row r="215" spans="10:28">
      <c r="J215" s="268" t="s">
        <v>99</v>
      </c>
      <c r="K215" s="268">
        <v>2013</v>
      </c>
      <c r="L215" s="268"/>
      <c r="M215" s="269">
        <v>31.291466</v>
      </c>
      <c r="N215" s="302">
        <v>35.839008999999997</v>
      </c>
      <c r="O215" s="302">
        <v>2.4899328999999999</v>
      </c>
      <c r="P215" s="269">
        <v>33.349077000000001</v>
      </c>
      <c r="Q215" s="302">
        <v>-2.0576107000000001</v>
      </c>
      <c r="R215" s="269">
        <v>104.59439</v>
      </c>
      <c r="S215" s="268"/>
      <c r="T215" s="268" t="s">
        <v>97</v>
      </c>
      <c r="U215" s="268">
        <v>2013</v>
      </c>
      <c r="V215" s="268"/>
      <c r="W215" s="269">
        <v>36.233566000000003</v>
      </c>
      <c r="X215" s="302">
        <v>41.701358999999997</v>
      </c>
      <c r="Y215" s="302">
        <v>2.7785663</v>
      </c>
      <c r="Z215" s="269">
        <v>38.922792999999999</v>
      </c>
      <c r="AA215" s="302">
        <v>-2.6892265000000002</v>
      </c>
      <c r="AB215" s="269">
        <v>84.754914999999997</v>
      </c>
    </row>
    <row r="216" spans="10:28">
      <c r="J216" s="268" t="s">
        <v>99</v>
      </c>
      <c r="K216" s="268">
        <v>2014</v>
      </c>
      <c r="L216" s="268"/>
      <c r="M216" s="269">
        <v>31.379534</v>
      </c>
      <c r="N216" s="302">
        <v>35.428615000000001</v>
      </c>
      <c r="O216" s="302">
        <v>2.4818305000000001</v>
      </c>
      <c r="P216" s="269">
        <v>32.946784000000001</v>
      </c>
      <c r="Q216" s="302">
        <v>-1.5672503</v>
      </c>
      <c r="R216" s="269">
        <v>104.583</v>
      </c>
      <c r="S216" s="268"/>
      <c r="T216" s="268" t="s">
        <v>97</v>
      </c>
      <c r="U216" s="268">
        <v>2014</v>
      </c>
      <c r="V216" s="268"/>
      <c r="W216" s="269">
        <v>35.411333999999997</v>
      </c>
      <c r="X216" s="302">
        <v>40.908620999999997</v>
      </c>
      <c r="Y216" s="302">
        <v>2.6217351999999998</v>
      </c>
      <c r="Z216" s="269">
        <v>38.286886000000003</v>
      </c>
      <c r="AA216" s="302">
        <v>-2.8755513000000001</v>
      </c>
      <c r="AB216" s="269">
        <v>86.460763999999998</v>
      </c>
    </row>
    <row r="217" spans="10:28">
      <c r="J217" s="268" t="s">
        <v>99</v>
      </c>
      <c r="K217" s="268">
        <v>2015</v>
      </c>
      <c r="L217" s="268"/>
      <c r="M217" s="269">
        <v>31.660084999999999</v>
      </c>
      <c r="N217" s="302">
        <v>35.192031</v>
      </c>
      <c r="O217" s="302">
        <v>2.3521884000000002</v>
      </c>
      <c r="P217" s="269">
        <v>32.839843000000002</v>
      </c>
      <c r="Q217" s="302">
        <v>-1.1797578</v>
      </c>
      <c r="R217" s="269">
        <v>105.16372</v>
      </c>
      <c r="S217" s="268"/>
      <c r="T217" s="268" t="s">
        <v>97</v>
      </c>
      <c r="U217" s="268">
        <v>2015</v>
      </c>
      <c r="V217" s="268"/>
      <c r="W217" s="269">
        <v>35.485982999999997</v>
      </c>
      <c r="X217" s="302">
        <v>39.993395999999997</v>
      </c>
      <c r="Y217" s="302">
        <v>2.2784583999999999</v>
      </c>
      <c r="Z217" s="269">
        <v>37.714937999999997</v>
      </c>
      <c r="AA217" s="302">
        <v>-2.2289547999999999</v>
      </c>
      <c r="AB217" s="269">
        <v>87.014859000000001</v>
      </c>
    </row>
    <row r="218" spans="10:28">
      <c r="J218" s="268" t="s">
        <v>99</v>
      </c>
      <c r="K218" s="268">
        <v>2016</v>
      </c>
      <c r="L218" s="268"/>
      <c r="M218" s="269">
        <v>31.179357</v>
      </c>
      <c r="N218" s="302">
        <v>35.552700999999999</v>
      </c>
      <c r="O218" s="302">
        <v>2.5044316000000002</v>
      </c>
      <c r="P218" s="269">
        <v>33.048268999999998</v>
      </c>
      <c r="Q218" s="302">
        <v>-1.8689122</v>
      </c>
      <c r="R218" s="269">
        <v>107.18628</v>
      </c>
      <c r="S218" s="268"/>
      <c r="T218" s="268" t="s">
        <v>97</v>
      </c>
      <c r="U218" s="268">
        <v>2016</v>
      </c>
      <c r="V218" s="268"/>
      <c r="W218" s="269">
        <v>35.871783000000001</v>
      </c>
      <c r="X218" s="302">
        <v>39.175002999999997</v>
      </c>
      <c r="Y218" s="302">
        <v>2.3937860999999998</v>
      </c>
      <c r="Z218" s="269">
        <v>36.781216999999998</v>
      </c>
      <c r="AA218" s="302">
        <v>-0.90943441999999997</v>
      </c>
      <c r="AB218" s="269">
        <v>86.736737000000005</v>
      </c>
    </row>
    <row r="219" spans="10:28">
      <c r="J219" s="268" t="s">
        <v>99</v>
      </c>
      <c r="K219" s="268">
        <v>2017</v>
      </c>
      <c r="L219" s="268"/>
      <c r="M219" s="269">
        <v>30.804607000000001</v>
      </c>
      <c r="N219" s="302">
        <v>35.406210000000002</v>
      </c>
      <c r="O219" s="302">
        <v>2.5382932</v>
      </c>
      <c r="P219" s="269">
        <v>32.867916999999998</v>
      </c>
      <c r="Q219" s="302">
        <v>-2.0633097</v>
      </c>
      <c r="R219" s="269">
        <v>106.21991</v>
      </c>
      <c r="S219" s="268"/>
      <c r="T219" s="268" t="s">
        <v>97</v>
      </c>
      <c r="U219" s="268">
        <v>2017</v>
      </c>
      <c r="V219" s="268"/>
      <c r="W219" s="269">
        <v>36.430610999999999</v>
      </c>
      <c r="X219" s="302">
        <v>38.783383000000001</v>
      </c>
      <c r="Y219" s="302">
        <v>2.6548500000000002</v>
      </c>
      <c r="Z219" s="269">
        <v>36.128532999999997</v>
      </c>
      <c r="AA219" s="302">
        <v>0.30207763999999998</v>
      </c>
      <c r="AB219" s="269">
        <v>86.116873999999996</v>
      </c>
    </row>
    <row r="220" spans="10:28">
      <c r="J220" s="268" t="s">
        <v>99</v>
      </c>
      <c r="K220" s="268">
        <v>2018</v>
      </c>
      <c r="L220" s="268"/>
      <c r="M220" s="269">
        <v>30.142742999999999</v>
      </c>
      <c r="N220" s="302">
        <v>35.473351000000001</v>
      </c>
      <c r="O220" s="302">
        <v>2.7875375</v>
      </c>
      <c r="P220" s="269">
        <v>32.685814000000001</v>
      </c>
      <c r="Q220" s="302">
        <v>-2.5430709999999999</v>
      </c>
      <c r="R220" s="269">
        <v>107.48806999999999</v>
      </c>
      <c r="S220" s="268"/>
      <c r="T220" s="268" t="s">
        <v>97</v>
      </c>
      <c r="U220" s="268">
        <v>2018</v>
      </c>
      <c r="V220" s="268"/>
      <c r="W220" s="269">
        <v>36.279398999999998</v>
      </c>
      <c r="X220" s="302">
        <v>38.438634999999998</v>
      </c>
      <c r="Y220" s="302">
        <v>2.4235874000000002</v>
      </c>
      <c r="Z220" s="269">
        <v>36.015048</v>
      </c>
      <c r="AA220" s="302">
        <v>0.26435122</v>
      </c>
      <c r="AB220" s="269">
        <v>85.468823</v>
      </c>
    </row>
    <row r="221" spans="10:28">
      <c r="J221" s="268" t="s">
        <v>99</v>
      </c>
      <c r="K221" s="268">
        <v>2019</v>
      </c>
      <c r="L221" s="268"/>
      <c r="M221" s="269">
        <v>30.269822000000001</v>
      </c>
      <c r="N221" s="302">
        <v>35.726106999999999</v>
      </c>
      <c r="O221" s="302">
        <v>2.8404172000000001</v>
      </c>
      <c r="P221" s="269">
        <v>32.885689999999997</v>
      </c>
      <c r="Q221" s="302">
        <v>-2.6158679999999999</v>
      </c>
      <c r="R221" s="269">
        <v>108.79468</v>
      </c>
      <c r="S221" s="268"/>
      <c r="T221" s="268" t="s">
        <v>97</v>
      </c>
      <c r="U221" s="268">
        <v>2019</v>
      </c>
      <c r="V221" s="268"/>
      <c r="W221" s="269">
        <v>36.038314999999997</v>
      </c>
      <c r="X221" s="302">
        <v>38.247750000000003</v>
      </c>
      <c r="Y221" s="302">
        <v>2.1082055</v>
      </c>
      <c r="Z221" s="269">
        <v>36.139544000000001</v>
      </c>
      <c r="AA221" s="302">
        <v>-0.10122898</v>
      </c>
      <c r="AB221" s="269">
        <v>84.846159</v>
      </c>
    </row>
    <row r="222" spans="10:28">
      <c r="J222" s="268" t="s">
        <v>99</v>
      </c>
      <c r="K222" s="268">
        <v>20</v>
      </c>
      <c r="L222" s="268">
        <v>150</v>
      </c>
      <c r="M222" s="269">
        <v>30.804202</v>
      </c>
      <c r="N222" s="302">
        <v>45.295822999999999</v>
      </c>
      <c r="O222" s="302">
        <v>2.5959867999999999</v>
      </c>
      <c r="P222" s="269">
        <v>42.699835999999998</v>
      </c>
      <c r="Q222" s="302">
        <v>-11.895633999999999</v>
      </c>
      <c r="R222" s="269">
        <v>134.54021</v>
      </c>
      <c r="S222" s="268"/>
      <c r="T222" s="268" t="s">
        <v>97</v>
      </c>
      <c r="U222" s="268">
        <v>20</v>
      </c>
      <c r="V222" s="268">
        <v>300</v>
      </c>
      <c r="W222" s="269">
        <v>36.160429000000001</v>
      </c>
      <c r="X222" s="302">
        <v>48.921098000000001</v>
      </c>
      <c r="Y222" s="302">
        <v>1.8888746000000001</v>
      </c>
      <c r="Z222" s="269">
        <v>47.032223999999999</v>
      </c>
      <c r="AA222" s="302">
        <v>-10.871794</v>
      </c>
      <c r="AB222" s="269">
        <v>103.59625</v>
      </c>
    </row>
    <row r="223" spans="10:28">
      <c r="J223" s="268" t="s">
        <v>99</v>
      </c>
      <c r="K223" s="268">
        <v>2021</v>
      </c>
      <c r="L223" s="268"/>
      <c r="M223" s="269">
        <v>31.457877</v>
      </c>
      <c r="N223" s="302">
        <v>42.364373999999998</v>
      </c>
      <c r="O223" s="302">
        <v>2.9509818000000001</v>
      </c>
      <c r="P223" s="269">
        <v>39.413392000000002</v>
      </c>
      <c r="Q223" s="302">
        <v>-7.9555154000000003</v>
      </c>
      <c r="R223" s="269">
        <v>128.12504000000001</v>
      </c>
      <c r="S223" s="268"/>
      <c r="T223" s="268" t="s">
        <v>97</v>
      </c>
      <c r="U223" s="268">
        <v>2021</v>
      </c>
      <c r="V223" s="268"/>
      <c r="W223" s="269">
        <v>36.888300000000001</v>
      </c>
      <c r="X223" s="302">
        <v>44.873609999999999</v>
      </c>
      <c r="Y223" s="302">
        <v>2.711284</v>
      </c>
      <c r="Z223" s="269">
        <v>42.162326</v>
      </c>
      <c r="AA223" s="302">
        <v>-5.2740255999999999</v>
      </c>
      <c r="AB223" s="269">
        <v>103.78682999999999</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CED8A-C530-4C1D-9708-A15B1EB3F376}">
  <dimension ref="A1:AS44"/>
  <sheetViews>
    <sheetView zoomScaleNormal="100" workbookViewId="0">
      <selection activeCell="B88" sqref="B88:K88"/>
    </sheetView>
  </sheetViews>
  <sheetFormatPr defaultColWidth="9" defaultRowHeight="12.75"/>
  <cols>
    <col min="1" max="11" width="9" style="273"/>
    <col min="12" max="12" width="9" style="273" bestFit="1" customWidth="1"/>
    <col min="13" max="13" width="9" style="273"/>
    <col min="14" max="14" width="9" style="273" bestFit="1" customWidth="1"/>
    <col min="15" max="15" width="9" style="273"/>
    <col min="16" max="16" width="9" style="273" bestFit="1" customWidth="1"/>
    <col min="17" max="17" width="9" style="273"/>
    <col min="18" max="18" width="12" style="273" bestFit="1" customWidth="1"/>
    <col min="19" max="19" width="9" style="273"/>
    <col min="20" max="20" width="9" style="273" bestFit="1" customWidth="1"/>
    <col min="21" max="21" width="9" style="273"/>
    <col min="22" max="22" width="9" style="273" bestFit="1" customWidth="1"/>
    <col min="23" max="23" width="11" style="273" bestFit="1" customWidth="1"/>
    <col min="24" max="24" width="9" style="273"/>
    <col min="25" max="25" width="9" style="273" bestFit="1" customWidth="1"/>
    <col min="26" max="26" width="9" style="273"/>
    <col min="27" max="27" width="9" style="273" bestFit="1" customWidth="1"/>
    <col min="28" max="28" width="9" style="273"/>
    <col min="29" max="29" width="9" style="273" bestFit="1" customWidth="1"/>
    <col min="30" max="30" width="9" style="273"/>
    <col min="31" max="31" width="9" style="273" bestFit="1" customWidth="1"/>
    <col min="32" max="32" width="9" style="273"/>
    <col min="33" max="33" width="9" style="273" bestFit="1" customWidth="1"/>
    <col min="34" max="35" width="9" style="273"/>
    <col min="36" max="36" width="9" style="273" bestFit="1" customWidth="1"/>
    <col min="37" max="37" width="9" style="273"/>
    <col min="38" max="38" width="9" style="273" bestFit="1" customWidth="1"/>
    <col min="39" max="39" width="9" style="273"/>
    <col min="40" max="40" width="9" style="273" bestFit="1" customWidth="1"/>
    <col min="41" max="41" width="9" style="273"/>
    <col min="42" max="42" width="9" style="273" bestFit="1" customWidth="1"/>
    <col min="43" max="43" width="9" style="273"/>
    <col min="44" max="45" width="9" style="273" bestFit="1" customWidth="1"/>
    <col min="46" max="16384" width="9" style="273"/>
  </cols>
  <sheetData>
    <row r="1" spans="1:45" ht="15">
      <c r="B1" s="278" t="s">
        <v>44</v>
      </c>
    </row>
    <row r="2" spans="1:45">
      <c r="B2" s="328" t="s">
        <v>533</v>
      </c>
    </row>
    <row r="3" spans="1:45" ht="13.15" customHeight="1"/>
    <row r="4" spans="1:45">
      <c r="A4" s="272"/>
      <c r="B4" s="272"/>
      <c r="C4" s="272"/>
      <c r="D4" s="272"/>
      <c r="E4" s="272"/>
      <c r="F4" s="272"/>
      <c r="G4" s="272"/>
      <c r="H4" s="272"/>
      <c r="I4" s="272"/>
      <c r="J4" s="272"/>
      <c r="K4" s="272"/>
      <c r="L4" s="308" t="s">
        <v>245</v>
      </c>
      <c r="M4" s="308" t="s">
        <v>234</v>
      </c>
      <c r="N4" s="308" t="s">
        <v>883</v>
      </c>
      <c r="O4" s="308" t="s">
        <v>234</v>
      </c>
      <c r="P4" s="308" t="s">
        <v>883</v>
      </c>
      <c r="Q4" s="308" t="s">
        <v>234</v>
      </c>
      <c r="R4" s="308" t="s">
        <v>883</v>
      </c>
      <c r="S4" s="308" t="s">
        <v>234</v>
      </c>
      <c r="T4" s="308" t="s">
        <v>883</v>
      </c>
      <c r="U4" s="308" t="s">
        <v>234</v>
      </c>
      <c r="V4" s="308" t="s">
        <v>883</v>
      </c>
      <c r="W4" s="308"/>
      <c r="X4" s="308"/>
      <c r="Y4" s="308"/>
      <c r="Z4" s="308"/>
      <c r="AA4" s="308"/>
      <c r="AB4" s="308"/>
      <c r="AC4" s="308"/>
      <c r="AD4" s="308"/>
      <c r="AE4" s="308"/>
      <c r="AF4" s="308"/>
      <c r="AG4" s="308"/>
      <c r="AH4" s="308"/>
      <c r="AI4" s="308"/>
      <c r="AJ4" s="308"/>
      <c r="AK4" s="308"/>
      <c r="AL4" s="308"/>
      <c r="AM4" s="308"/>
      <c r="AN4" s="308"/>
      <c r="AO4" s="308"/>
      <c r="AP4" s="308"/>
      <c r="AQ4" s="308"/>
      <c r="AR4" s="308"/>
      <c r="AS4" s="308">
        <v>1914</v>
      </c>
    </row>
    <row r="5" spans="1:45" ht="38.25">
      <c r="A5" s="272"/>
      <c r="B5" s="329" t="s">
        <v>884</v>
      </c>
      <c r="C5" s="272"/>
      <c r="D5" s="272"/>
      <c r="E5" s="272"/>
      <c r="F5" s="272"/>
      <c r="G5" s="329" t="s">
        <v>885</v>
      </c>
      <c r="H5" s="272"/>
      <c r="I5" s="272"/>
      <c r="J5" s="272"/>
      <c r="K5" s="272"/>
      <c r="L5" s="308">
        <v>1913</v>
      </c>
      <c r="M5" s="308" t="s">
        <v>90</v>
      </c>
      <c r="N5" s="308">
        <v>6.6618857422697769E-2</v>
      </c>
      <c r="O5" s="308" t="s">
        <v>92</v>
      </c>
      <c r="P5" s="308">
        <v>2.5743599999999998E-2</v>
      </c>
      <c r="Q5" s="308" t="s">
        <v>91</v>
      </c>
      <c r="R5" s="308">
        <v>1.5027249944261957E-11</v>
      </c>
      <c r="S5" s="308" t="s">
        <v>221</v>
      </c>
      <c r="T5" s="308">
        <v>2.2899946628118171</v>
      </c>
      <c r="U5" s="308" t="s">
        <v>215</v>
      </c>
      <c r="V5" s="308">
        <v>8.0164322352280077</v>
      </c>
      <c r="W5" s="308"/>
      <c r="X5" s="308"/>
      <c r="Y5" s="308" t="s">
        <v>90</v>
      </c>
      <c r="Z5" s="308"/>
      <c r="AA5" s="308" t="s">
        <v>92</v>
      </c>
      <c r="AB5" s="308"/>
      <c r="AC5" s="308" t="s">
        <v>91</v>
      </c>
      <c r="AD5" s="308"/>
      <c r="AE5" s="308" t="s">
        <v>221</v>
      </c>
      <c r="AF5" s="308"/>
      <c r="AG5" s="308" t="s">
        <v>215</v>
      </c>
      <c r="AH5" s="308"/>
      <c r="AI5" s="308"/>
      <c r="AJ5" s="308" t="s">
        <v>90</v>
      </c>
      <c r="AK5" s="308"/>
      <c r="AL5" s="308" t="s">
        <v>92</v>
      </c>
      <c r="AM5" s="308"/>
      <c r="AN5" s="330" t="s">
        <v>886</v>
      </c>
      <c r="AO5" s="308"/>
      <c r="AP5" s="308" t="s">
        <v>221</v>
      </c>
      <c r="AQ5" s="308"/>
      <c r="AR5" s="308" t="s">
        <v>215</v>
      </c>
      <c r="AS5" s="308">
        <v>1915</v>
      </c>
    </row>
    <row r="6" spans="1:45">
      <c r="A6" s="272"/>
      <c r="B6" s="272"/>
      <c r="C6" s="272"/>
      <c r="D6" s="272"/>
      <c r="E6" s="272"/>
      <c r="F6" s="272"/>
      <c r="G6" s="272"/>
      <c r="H6" s="272"/>
      <c r="I6" s="272"/>
      <c r="J6" s="272"/>
      <c r="K6" s="272"/>
      <c r="L6" s="308">
        <v>1914</v>
      </c>
      <c r="M6" s="308" t="s">
        <v>90</v>
      </c>
      <c r="N6" s="308">
        <v>6.7978425941528337E-2</v>
      </c>
      <c r="O6" s="308" t="s">
        <v>92</v>
      </c>
      <c r="P6" s="308">
        <v>2.5743599999999998E-2</v>
      </c>
      <c r="Q6" s="308" t="s">
        <v>91</v>
      </c>
      <c r="R6" s="308">
        <v>1.544179487029796E-11</v>
      </c>
      <c r="S6" s="308" t="s">
        <v>221</v>
      </c>
      <c r="T6" s="308">
        <v>2.2831246788233814</v>
      </c>
      <c r="U6" s="308" t="s">
        <v>215</v>
      </c>
      <c r="V6" s="308">
        <v>8.0974062982101085</v>
      </c>
      <c r="W6" s="308"/>
      <c r="X6" s="308" t="s">
        <v>90</v>
      </c>
      <c r="Y6" s="308">
        <v>0</v>
      </c>
      <c r="Z6" s="308" t="s">
        <v>92</v>
      </c>
      <c r="AA6" s="308">
        <v>0</v>
      </c>
      <c r="AB6" s="308" t="s">
        <v>91</v>
      </c>
      <c r="AC6" s="308">
        <v>0</v>
      </c>
      <c r="AD6" s="308" t="s">
        <v>221</v>
      </c>
      <c r="AE6" s="308">
        <v>0</v>
      </c>
      <c r="AF6" s="308" t="s">
        <v>215</v>
      </c>
      <c r="AG6" s="308">
        <v>0</v>
      </c>
      <c r="AH6" s="308"/>
      <c r="AI6" s="308" t="s">
        <v>90</v>
      </c>
      <c r="AJ6" s="308">
        <v>0</v>
      </c>
      <c r="AK6" s="308" t="s">
        <v>92</v>
      </c>
      <c r="AL6" s="308">
        <v>0</v>
      </c>
      <c r="AM6" s="308" t="s">
        <v>91</v>
      </c>
      <c r="AN6" s="308">
        <v>0</v>
      </c>
      <c r="AO6" s="308" t="s">
        <v>221</v>
      </c>
      <c r="AP6" s="308">
        <v>0</v>
      </c>
      <c r="AQ6" s="308" t="s">
        <v>215</v>
      </c>
      <c r="AR6" s="308">
        <v>0</v>
      </c>
      <c r="AS6" s="308">
        <v>1916</v>
      </c>
    </row>
    <row r="7" spans="1:45">
      <c r="A7" s="272"/>
      <c r="B7" s="272"/>
      <c r="C7" s="272"/>
      <c r="D7" s="272"/>
      <c r="E7" s="272"/>
      <c r="F7" s="272"/>
      <c r="G7" s="272"/>
      <c r="H7" s="272"/>
      <c r="I7" s="272"/>
      <c r="J7" s="272"/>
      <c r="K7" s="272"/>
      <c r="L7" s="308">
        <v>1915</v>
      </c>
      <c r="M7" s="308" t="s">
        <v>90</v>
      </c>
      <c r="N7" s="308">
        <v>7.9974618754739227E-2</v>
      </c>
      <c r="O7" s="308" t="s">
        <v>92</v>
      </c>
      <c r="P7" s="308">
        <v>2.75456E-2</v>
      </c>
      <c r="Q7" s="308" t="s">
        <v>91</v>
      </c>
      <c r="R7" s="308">
        <v>1.9379970725641004E-11</v>
      </c>
      <c r="S7" s="308" t="s">
        <v>221</v>
      </c>
      <c r="T7" s="308">
        <v>2.5685152636763036</v>
      </c>
      <c r="U7" s="308" t="s">
        <v>215</v>
      </c>
      <c r="V7" s="308">
        <v>8.1783803611922092</v>
      </c>
      <c r="W7" s="308"/>
      <c r="X7" s="308" t="s">
        <v>90</v>
      </c>
      <c r="Y7" s="308">
        <f t="shared" ref="Y7:Y16" si="0">(LN(N7)-LN(N6))*100</f>
        <v>16.251892949777471</v>
      </c>
      <c r="Z7" s="308" t="s">
        <v>92</v>
      </c>
      <c r="AA7" s="308">
        <f t="shared" ref="AA7:AA16" si="1">(LN(P7)-LN(P6))*100</f>
        <v>6.7656760696786389</v>
      </c>
      <c r="AB7" s="308" t="s">
        <v>91</v>
      </c>
      <c r="AC7" s="308">
        <f t="shared" ref="AC7:AC16" si="2">(LN(R7)-LN(R6))*100</f>
        <v>22.716231000000064</v>
      </c>
      <c r="AD7" s="308" t="s">
        <v>221</v>
      </c>
      <c r="AE7" s="308">
        <f t="shared" ref="AE7:AE16" si="3">(LN(T7)-LN(T6))*100</f>
        <v>11.778303565638327</v>
      </c>
      <c r="AF7" s="308" t="s">
        <v>215</v>
      </c>
      <c r="AG7" s="308">
        <f t="shared" ref="AG7:AG16" si="4">(LN(V7)-LN(V6))*100</f>
        <v>0.9950330853168321</v>
      </c>
      <c r="AH7" s="308"/>
      <c r="AI7" s="308" t="s">
        <v>90</v>
      </c>
      <c r="AJ7" s="308">
        <f t="shared" ref="AJ7:AJ16" si="5">AJ6+Y7</f>
        <v>16.251892949777471</v>
      </c>
      <c r="AK7" s="308" t="s">
        <v>92</v>
      </c>
      <c r="AL7" s="308">
        <f t="shared" ref="AL7:AL16" si="6">AL6+AA7</f>
        <v>6.7656760696786389</v>
      </c>
      <c r="AM7" s="308" t="s">
        <v>91</v>
      </c>
      <c r="AN7" s="308">
        <f t="shared" ref="AN7:AN16" si="7">AN6+AC7</f>
        <v>22.716231000000064</v>
      </c>
      <c r="AO7" s="308" t="s">
        <v>221</v>
      </c>
      <c r="AP7" s="308">
        <f t="shared" ref="AP7:AP16" si="8">AP6+AE7</f>
        <v>11.778303565638327</v>
      </c>
      <c r="AQ7" s="308" t="s">
        <v>215</v>
      </c>
      <c r="AR7" s="308">
        <f t="shared" ref="AR7:AR16" si="9">AR6+AG7</f>
        <v>0.9950330853168321</v>
      </c>
      <c r="AS7" s="308">
        <v>1917</v>
      </c>
    </row>
    <row r="8" spans="1:45">
      <c r="A8" s="272"/>
      <c r="B8" s="272"/>
      <c r="C8" s="272"/>
      <c r="D8" s="272"/>
      <c r="E8" s="272"/>
      <c r="F8" s="272"/>
      <c r="G8" s="272"/>
      <c r="H8" s="272"/>
      <c r="I8" s="272"/>
      <c r="J8" s="272"/>
      <c r="K8" s="272"/>
      <c r="L8" s="308">
        <v>1916</v>
      </c>
      <c r="M8" s="308" t="s">
        <v>90</v>
      </c>
      <c r="N8" s="308">
        <v>9.1970811567950117E-2</v>
      </c>
      <c r="O8" s="308" t="s">
        <v>92</v>
      </c>
      <c r="P8" s="308">
        <v>3.44707E-2</v>
      </c>
      <c r="Q8" s="308" t="s">
        <v>91</v>
      </c>
      <c r="R8" s="308">
        <v>2.5494506967403004E-11</v>
      </c>
      <c r="S8" s="308" t="s">
        <v>221</v>
      </c>
      <c r="T8" s="308">
        <v>3.033416526401715</v>
      </c>
      <c r="U8" s="308" t="s">
        <v>215</v>
      </c>
      <c r="V8" s="308">
        <v>8.8261728650490188</v>
      </c>
      <c r="W8" s="308"/>
      <c r="X8" s="308" t="s">
        <v>90</v>
      </c>
      <c r="Y8" s="308">
        <f t="shared" si="0"/>
        <v>13.976194237515882</v>
      </c>
      <c r="Z8" s="308" t="s">
        <v>92</v>
      </c>
      <c r="AA8" s="308">
        <f t="shared" si="1"/>
        <v>22.42668746112497</v>
      </c>
      <c r="AB8" s="308" t="s">
        <v>91</v>
      </c>
      <c r="AC8" s="308">
        <f t="shared" si="2"/>
        <v>27.422291999999615</v>
      </c>
      <c r="AD8" s="308" t="s">
        <v>221</v>
      </c>
      <c r="AE8" s="308">
        <f t="shared" si="3"/>
        <v>16.636153721522529</v>
      </c>
      <c r="AF8" s="308" t="s">
        <v>215</v>
      </c>
      <c r="AG8" s="308">
        <f t="shared" si="4"/>
        <v>7.6227365387884216</v>
      </c>
      <c r="AH8" s="308"/>
      <c r="AI8" s="308" t="s">
        <v>90</v>
      </c>
      <c r="AJ8" s="308">
        <f t="shared" si="5"/>
        <v>30.228087187293355</v>
      </c>
      <c r="AK8" s="308" t="s">
        <v>92</v>
      </c>
      <c r="AL8" s="308">
        <f t="shared" si="6"/>
        <v>29.192363530803611</v>
      </c>
      <c r="AM8" s="308" t="s">
        <v>91</v>
      </c>
      <c r="AN8" s="308">
        <f t="shared" si="7"/>
        <v>50.13852299999968</v>
      </c>
      <c r="AO8" s="308" t="s">
        <v>221</v>
      </c>
      <c r="AP8" s="308">
        <f t="shared" si="8"/>
        <v>28.414457287160857</v>
      </c>
      <c r="AQ8" s="308" t="s">
        <v>215</v>
      </c>
      <c r="AR8" s="308">
        <f t="shared" si="9"/>
        <v>8.6177696241052537</v>
      </c>
      <c r="AS8" s="308">
        <v>1918</v>
      </c>
    </row>
    <row r="9" spans="1:45">
      <c r="A9" s="272"/>
      <c r="B9" s="272"/>
      <c r="C9" s="272"/>
      <c r="D9" s="272"/>
      <c r="E9" s="272"/>
      <c r="F9" s="272"/>
      <c r="G9" s="272"/>
      <c r="H9" s="272"/>
      <c r="I9" s="272"/>
      <c r="J9" s="272"/>
      <c r="K9" s="272"/>
      <c r="L9" s="308">
        <v>1917</v>
      </c>
      <c r="M9" s="308" t="s">
        <v>90</v>
      </c>
      <c r="N9" s="308">
        <v>0.10796573531889796</v>
      </c>
      <c r="O9" s="308" t="s">
        <v>92</v>
      </c>
      <c r="P9" s="308">
        <v>4.8758299999999997E-2</v>
      </c>
      <c r="Q9" s="308" t="s">
        <v>91</v>
      </c>
      <c r="R9" s="308">
        <v>3.8241760523451689E-11</v>
      </c>
      <c r="S9" s="308" t="s">
        <v>221</v>
      </c>
      <c r="T9" s="308">
        <v>3.7978374910549473</v>
      </c>
      <c r="U9" s="308" t="s">
        <v>215</v>
      </c>
      <c r="V9" s="308">
        <v>10.36468006170894</v>
      </c>
      <c r="W9" s="308"/>
      <c r="X9" s="308" t="s">
        <v>90</v>
      </c>
      <c r="Y9" s="308">
        <f t="shared" si="0"/>
        <v>16.034265007517945</v>
      </c>
      <c r="Z9" s="308" t="s">
        <v>92</v>
      </c>
      <c r="AA9" s="308">
        <f t="shared" si="1"/>
        <v>34.676575152577541</v>
      </c>
      <c r="AB9" s="308" t="s">
        <v>91</v>
      </c>
      <c r="AC9" s="308">
        <f t="shared" si="2"/>
        <v>40.546511000000152</v>
      </c>
      <c r="AD9" s="308" t="s">
        <v>221</v>
      </c>
      <c r="AE9" s="308">
        <f t="shared" si="3"/>
        <v>22.474227267790692</v>
      </c>
      <c r="AF9" s="308" t="s">
        <v>215</v>
      </c>
      <c r="AG9" s="308">
        <f t="shared" si="4"/>
        <v>16.068238169047344</v>
      </c>
      <c r="AH9" s="308"/>
      <c r="AI9" s="308" t="s">
        <v>90</v>
      </c>
      <c r="AJ9" s="308">
        <f t="shared" si="5"/>
        <v>46.262352194811299</v>
      </c>
      <c r="AK9" s="308" t="s">
        <v>92</v>
      </c>
      <c r="AL9" s="308">
        <f t="shared" si="6"/>
        <v>63.868938683381153</v>
      </c>
      <c r="AM9" s="308" t="s">
        <v>91</v>
      </c>
      <c r="AN9" s="308">
        <f t="shared" si="7"/>
        <v>90.685033999999831</v>
      </c>
      <c r="AO9" s="308" t="s">
        <v>221</v>
      </c>
      <c r="AP9" s="308">
        <f t="shared" si="8"/>
        <v>50.888684554951553</v>
      </c>
      <c r="AQ9" s="308" t="s">
        <v>215</v>
      </c>
      <c r="AR9" s="308">
        <f t="shared" si="9"/>
        <v>24.686007793152598</v>
      </c>
      <c r="AS9" s="308">
        <v>1919</v>
      </c>
    </row>
    <row r="10" spans="1:45">
      <c r="A10" s="272"/>
      <c r="B10" s="272"/>
      <c r="C10" s="272"/>
      <c r="D10" s="272"/>
      <c r="E10" s="272"/>
      <c r="F10" s="272"/>
      <c r="G10" s="272"/>
      <c r="H10" s="272"/>
      <c r="I10" s="272"/>
      <c r="J10" s="272"/>
      <c r="K10" s="272"/>
      <c r="L10" s="308">
        <v>1918</v>
      </c>
      <c r="M10" s="308" t="s">
        <v>90</v>
      </c>
      <c r="N10" s="308">
        <v>0.13995558282079365</v>
      </c>
      <c r="O10" s="308" t="s">
        <v>92</v>
      </c>
      <c r="P10" s="308">
        <v>6.7988800000000002E-2</v>
      </c>
      <c r="Q10" s="308" t="s">
        <v>91</v>
      </c>
      <c r="R10" s="308">
        <v>4.7050837962563053E-11</v>
      </c>
      <c r="S10" s="308" t="s">
        <v>221</v>
      </c>
      <c r="T10" s="308">
        <v>4.633361739087035</v>
      </c>
      <c r="U10" s="308" t="s">
        <v>215</v>
      </c>
      <c r="V10" s="308">
        <v>12.227083510297264</v>
      </c>
      <c r="W10" s="308"/>
      <c r="X10" s="308" t="s">
        <v>90</v>
      </c>
      <c r="Y10" s="308">
        <f t="shared" si="0"/>
        <v>25.951119548508462</v>
      </c>
      <c r="Z10" s="308" t="s">
        <v>92</v>
      </c>
      <c r="AA10" s="308">
        <f t="shared" si="1"/>
        <v>33.246754636611577</v>
      </c>
      <c r="AB10" s="308" t="s">
        <v>91</v>
      </c>
      <c r="AC10" s="308">
        <f t="shared" si="2"/>
        <v>20.730054999999936</v>
      </c>
      <c r="AD10" s="308" t="s">
        <v>221</v>
      </c>
      <c r="AE10" s="308">
        <f t="shared" si="3"/>
        <v>19.885085874516495</v>
      </c>
      <c r="AF10" s="308" t="s">
        <v>215</v>
      </c>
      <c r="AG10" s="308">
        <f t="shared" si="4"/>
        <v>16.524957289530697</v>
      </c>
      <c r="AH10" s="308"/>
      <c r="AI10" s="308" t="s">
        <v>90</v>
      </c>
      <c r="AJ10" s="308">
        <f t="shared" si="5"/>
        <v>72.213471743319758</v>
      </c>
      <c r="AK10" s="308" t="s">
        <v>92</v>
      </c>
      <c r="AL10" s="308">
        <f t="shared" si="6"/>
        <v>97.115693319992729</v>
      </c>
      <c r="AM10" s="308" t="s">
        <v>91</v>
      </c>
      <c r="AN10" s="308">
        <f t="shared" si="7"/>
        <v>111.41508899999977</v>
      </c>
      <c r="AO10" s="308" t="s">
        <v>221</v>
      </c>
      <c r="AP10" s="308">
        <f t="shared" si="8"/>
        <v>70.773770429468044</v>
      </c>
      <c r="AQ10" s="308" t="s">
        <v>215</v>
      </c>
      <c r="AR10" s="308">
        <f t="shared" si="9"/>
        <v>41.210965082683295</v>
      </c>
      <c r="AS10" s="308">
        <v>1920</v>
      </c>
    </row>
    <row r="11" spans="1:45">
      <c r="A11" s="272"/>
      <c r="B11" s="272"/>
      <c r="C11" s="272"/>
      <c r="D11" s="272"/>
      <c r="E11" s="272"/>
      <c r="F11" s="272"/>
      <c r="G11" s="272"/>
      <c r="H11" s="272"/>
      <c r="I11" s="272"/>
      <c r="J11" s="272"/>
      <c r="K11" s="272"/>
      <c r="L11" s="308">
        <v>1919</v>
      </c>
      <c r="M11" s="308" t="s">
        <v>90</v>
      </c>
      <c r="N11" s="308">
        <v>0.17594416126042628</v>
      </c>
      <c r="O11" s="308" t="s">
        <v>92</v>
      </c>
      <c r="P11" s="308">
        <v>6.9018499999999997E-2</v>
      </c>
      <c r="Q11" s="308" t="s">
        <v>91</v>
      </c>
      <c r="R11" s="308">
        <v>6.2492632882622125E-11</v>
      </c>
      <c r="S11" s="308" t="s">
        <v>221</v>
      </c>
      <c r="T11" s="308">
        <v>5.1013312747348261</v>
      </c>
      <c r="U11" s="308" t="s">
        <v>215</v>
      </c>
      <c r="V11" s="308">
        <v>14.00851289590349</v>
      </c>
      <c r="W11" s="308"/>
      <c r="X11" s="308" t="s">
        <v>90</v>
      </c>
      <c r="Y11" s="308">
        <f t="shared" si="0"/>
        <v>22.884157242884729</v>
      </c>
      <c r="Z11" s="308" t="s">
        <v>92</v>
      </c>
      <c r="AA11" s="308">
        <f t="shared" si="1"/>
        <v>1.5031598874382102</v>
      </c>
      <c r="AB11" s="308" t="s">
        <v>91</v>
      </c>
      <c r="AC11" s="308">
        <f t="shared" si="2"/>
        <v>28.381999999999863</v>
      </c>
      <c r="AD11" s="308" t="s">
        <v>221</v>
      </c>
      <c r="AE11" s="308">
        <f t="shared" si="3"/>
        <v>9.6218857740543164</v>
      </c>
      <c r="AF11" s="308" t="s">
        <v>215</v>
      </c>
      <c r="AG11" s="308">
        <f t="shared" si="4"/>
        <v>13.601175768285501</v>
      </c>
      <c r="AH11" s="308"/>
      <c r="AI11" s="308" t="s">
        <v>90</v>
      </c>
      <c r="AJ11" s="308">
        <f t="shared" si="5"/>
        <v>95.097628986204484</v>
      </c>
      <c r="AK11" s="308" t="s">
        <v>92</v>
      </c>
      <c r="AL11" s="308">
        <f t="shared" si="6"/>
        <v>98.618853207430945</v>
      </c>
      <c r="AM11" s="308" t="s">
        <v>91</v>
      </c>
      <c r="AN11" s="308">
        <f t="shared" si="7"/>
        <v>139.79708899999963</v>
      </c>
      <c r="AO11" s="308" t="s">
        <v>221</v>
      </c>
      <c r="AP11" s="308">
        <f t="shared" si="8"/>
        <v>80.395656203522364</v>
      </c>
      <c r="AQ11" s="308" t="s">
        <v>215</v>
      </c>
      <c r="AR11" s="308">
        <f t="shared" si="9"/>
        <v>54.812140850968795</v>
      </c>
      <c r="AS11" s="308">
        <v>1921</v>
      </c>
    </row>
    <row r="12" spans="1:45">
      <c r="A12" s="272"/>
      <c r="B12" s="272"/>
      <c r="C12" s="272"/>
      <c r="D12" s="272"/>
      <c r="E12" s="272"/>
      <c r="F12" s="272"/>
      <c r="G12" s="272"/>
      <c r="H12" s="272"/>
      <c r="I12" s="272"/>
      <c r="J12" s="272"/>
      <c r="K12" s="272"/>
      <c r="L12" s="308">
        <v>1920</v>
      </c>
      <c r="M12" s="308" t="s">
        <v>90</v>
      </c>
      <c r="N12" s="308">
        <v>0.24392258720195462</v>
      </c>
      <c r="O12" s="308" t="s">
        <v>92</v>
      </c>
      <c r="P12" s="308">
        <v>9.06946E-2</v>
      </c>
      <c r="Q12" s="308" t="s">
        <v>91</v>
      </c>
      <c r="R12" s="308">
        <v>1.5338158650649405E-10</v>
      </c>
      <c r="S12" s="308" t="s">
        <v>221</v>
      </c>
      <c r="T12" s="308">
        <v>5.8869362910439884</v>
      </c>
      <c r="U12" s="308" t="s">
        <v>215</v>
      </c>
      <c r="V12" s="308">
        <v>16.194812596420221</v>
      </c>
      <c r="W12" s="308"/>
      <c r="X12" s="308" t="s">
        <v>90</v>
      </c>
      <c r="Y12" s="308">
        <f t="shared" si="0"/>
        <v>32.668423025505014</v>
      </c>
      <c r="Z12" s="308" t="s">
        <v>92</v>
      </c>
      <c r="AA12" s="308">
        <f t="shared" si="1"/>
        <v>27.312323381111447</v>
      </c>
      <c r="AB12" s="308" t="s">
        <v>91</v>
      </c>
      <c r="AC12" s="308">
        <f t="shared" si="2"/>
        <v>89.788017000000053</v>
      </c>
      <c r="AD12" s="308" t="s">
        <v>221</v>
      </c>
      <c r="AE12" s="308">
        <f t="shared" si="3"/>
        <v>14.32341680859075</v>
      </c>
      <c r="AF12" s="308" t="s">
        <v>215</v>
      </c>
      <c r="AG12" s="308">
        <f t="shared" si="4"/>
        <v>14.502577205025791</v>
      </c>
      <c r="AH12" s="308"/>
      <c r="AI12" s="308" t="s">
        <v>90</v>
      </c>
      <c r="AJ12" s="308">
        <f t="shared" si="5"/>
        <v>127.76605201170949</v>
      </c>
      <c r="AK12" s="308" t="s">
        <v>92</v>
      </c>
      <c r="AL12" s="308">
        <f t="shared" si="6"/>
        <v>125.9311765885424</v>
      </c>
      <c r="AM12" s="308" t="s">
        <v>91</v>
      </c>
      <c r="AN12" s="308">
        <f t="shared" si="7"/>
        <v>229.58510599999968</v>
      </c>
      <c r="AO12" s="308" t="s">
        <v>221</v>
      </c>
      <c r="AP12" s="308">
        <f t="shared" si="8"/>
        <v>94.719073012113114</v>
      </c>
      <c r="AQ12" s="308" t="s">
        <v>215</v>
      </c>
      <c r="AR12" s="308">
        <f t="shared" si="9"/>
        <v>69.314718055994589</v>
      </c>
      <c r="AS12" s="308">
        <v>1922</v>
      </c>
    </row>
    <row r="13" spans="1:45">
      <c r="A13" s="272"/>
      <c r="B13" s="272"/>
      <c r="C13" s="272"/>
      <c r="D13" s="272"/>
      <c r="E13" s="272"/>
      <c r="F13" s="272"/>
      <c r="G13" s="272"/>
      <c r="H13" s="272"/>
      <c r="I13" s="272"/>
      <c r="J13" s="272"/>
      <c r="K13" s="272"/>
      <c r="L13" s="308">
        <v>1921</v>
      </c>
      <c r="M13" s="308" t="s">
        <v>90</v>
      </c>
      <c r="N13" s="308">
        <v>0.21193273970005894</v>
      </c>
      <c r="O13" s="308" t="s">
        <v>92</v>
      </c>
      <c r="P13" s="308">
        <v>0.1072992</v>
      </c>
      <c r="Q13" s="308" t="s">
        <v>91</v>
      </c>
      <c r="R13" s="308">
        <v>2.0105424070659674E-10</v>
      </c>
      <c r="S13" s="308" t="s">
        <v>221</v>
      </c>
      <c r="T13" s="308">
        <v>5.3806597700142067</v>
      </c>
      <c r="U13" s="308" t="s">
        <v>215</v>
      </c>
      <c r="V13" s="308">
        <v>14.494357273796094</v>
      </c>
      <c r="W13" s="308"/>
      <c r="X13" s="308" t="s">
        <v>90</v>
      </c>
      <c r="Y13" s="308">
        <f t="shared" si="0"/>
        <v>-14.058195062118939</v>
      </c>
      <c r="Z13" s="308" t="s">
        <v>92</v>
      </c>
      <c r="AA13" s="308">
        <f t="shared" si="1"/>
        <v>16.812337546351806</v>
      </c>
      <c r="AB13" s="308" t="s">
        <v>91</v>
      </c>
      <c r="AC13" s="308">
        <f t="shared" si="2"/>
        <v>27.064588000000001</v>
      </c>
      <c r="AD13" s="308" t="s">
        <v>221</v>
      </c>
      <c r="AE13" s="308">
        <f t="shared" si="3"/>
        <v>-8.9924707527986758</v>
      </c>
      <c r="AF13" s="308" t="s">
        <v>215</v>
      </c>
      <c r="AG13" s="308">
        <f t="shared" si="4"/>
        <v>-11.093156070728227</v>
      </c>
      <c r="AH13" s="308"/>
      <c r="AI13" s="308" t="s">
        <v>90</v>
      </c>
      <c r="AJ13" s="308">
        <f t="shared" si="5"/>
        <v>113.70785694959055</v>
      </c>
      <c r="AK13" s="308" t="s">
        <v>92</v>
      </c>
      <c r="AL13" s="308">
        <f t="shared" si="6"/>
        <v>142.74351413489421</v>
      </c>
      <c r="AM13" s="308" t="s">
        <v>91</v>
      </c>
      <c r="AN13" s="308">
        <f t="shared" si="7"/>
        <v>256.64969399999967</v>
      </c>
      <c r="AO13" s="308" t="s">
        <v>221</v>
      </c>
      <c r="AP13" s="308">
        <f t="shared" si="8"/>
        <v>85.726602259314433</v>
      </c>
      <c r="AQ13" s="308" t="s">
        <v>215</v>
      </c>
      <c r="AR13" s="308">
        <f t="shared" si="9"/>
        <v>58.221561985266362</v>
      </c>
      <c r="AS13" s="308">
        <v>1923</v>
      </c>
    </row>
    <row r="14" spans="1:45">
      <c r="A14" s="272"/>
      <c r="B14" s="272"/>
      <c r="C14" s="272"/>
      <c r="D14" s="272"/>
      <c r="E14" s="272"/>
      <c r="F14" s="272"/>
      <c r="G14" s="272"/>
      <c r="H14" s="272"/>
      <c r="I14" s="272"/>
      <c r="J14" s="272"/>
      <c r="K14" s="272"/>
      <c r="L14" s="308">
        <v>1922</v>
      </c>
      <c r="M14" s="308" t="s">
        <v>90</v>
      </c>
      <c r="N14" s="308">
        <v>0.20393527782458501</v>
      </c>
      <c r="O14" s="308" t="s">
        <v>92</v>
      </c>
      <c r="P14" s="308">
        <v>0.1066556</v>
      </c>
      <c r="Q14" s="308" t="s">
        <v>91</v>
      </c>
      <c r="R14" s="308">
        <v>2.2592693101963121E-9</v>
      </c>
      <c r="S14" s="308" t="s">
        <v>221</v>
      </c>
      <c r="T14" s="308">
        <v>4.6273674022122169</v>
      </c>
      <c r="U14" s="308" t="s">
        <v>215</v>
      </c>
      <c r="V14" s="308">
        <v>13.603642580992984</v>
      </c>
      <c r="W14" s="308"/>
      <c r="X14" s="308" t="s">
        <v>90</v>
      </c>
      <c r="Y14" s="308">
        <f t="shared" si="0"/>
        <v>-3.8466280827796018</v>
      </c>
      <c r="Z14" s="308" t="s">
        <v>92</v>
      </c>
      <c r="AA14" s="308">
        <f t="shared" si="1"/>
        <v>-0.6016242134005978</v>
      </c>
      <c r="AB14" s="308" t="s">
        <v>91</v>
      </c>
      <c r="AC14" s="308">
        <f t="shared" si="2"/>
        <v>241.92220000000015</v>
      </c>
      <c r="AD14" s="308" t="s">
        <v>221</v>
      </c>
      <c r="AE14" s="308">
        <f t="shared" si="3"/>
        <v>-15.082288973458379</v>
      </c>
      <c r="AF14" s="308" t="s">
        <v>215</v>
      </c>
      <c r="AG14" s="308">
        <f t="shared" si="4"/>
        <v>-6.3421826437495721</v>
      </c>
      <c r="AH14" s="308"/>
      <c r="AI14" s="308" t="s">
        <v>90</v>
      </c>
      <c r="AJ14" s="308">
        <f t="shared" si="5"/>
        <v>109.86122886681095</v>
      </c>
      <c r="AK14" s="308" t="s">
        <v>92</v>
      </c>
      <c r="AL14" s="308">
        <f t="shared" si="6"/>
        <v>142.1418899214936</v>
      </c>
      <c r="AM14" s="308" t="s">
        <v>91</v>
      </c>
      <c r="AN14" s="308">
        <f t="shared" si="7"/>
        <v>498.57189399999982</v>
      </c>
      <c r="AO14" s="308" t="s">
        <v>221</v>
      </c>
      <c r="AP14" s="308">
        <f t="shared" si="8"/>
        <v>70.644313285856057</v>
      </c>
      <c r="AQ14" s="308" t="s">
        <v>215</v>
      </c>
      <c r="AR14" s="308">
        <f t="shared" si="9"/>
        <v>51.879379341516788</v>
      </c>
      <c r="AS14" s="308">
        <v>1924</v>
      </c>
    </row>
    <row r="15" spans="1:45">
      <c r="A15" s="272"/>
      <c r="B15" s="272"/>
      <c r="C15" s="272"/>
      <c r="D15" s="272"/>
      <c r="E15" s="272"/>
      <c r="F15" s="272"/>
      <c r="G15" s="272"/>
      <c r="H15" s="272"/>
      <c r="I15" s="272"/>
      <c r="J15" s="272"/>
      <c r="K15" s="272"/>
      <c r="L15" s="308">
        <v>1923</v>
      </c>
      <c r="M15" s="308" t="s">
        <v>90</v>
      </c>
      <c r="N15" s="308">
        <v>0.22792766345100679</v>
      </c>
      <c r="O15" s="308" t="s">
        <v>92</v>
      </c>
      <c r="P15" s="308">
        <v>0.1060378</v>
      </c>
      <c r="Q15" s="308" t="s">
        <v>91</v>
      </c>
      <c r="R15" s="308">
        <v>2.3882661418066782</v>
      </c>
      <c r="S15" s="308" t="s">
        <v>221</v>
      </c>
      <c r="T15" s="308">
        <v>4.3497253580794846</v>
      </c>
      <c r="U15" s="308" t="s">
        <v>215</v>
      </c>
      <c r="V15" s="308">
        <v>13.846564769939288</v>
      </c>
      <c r="W15" s="308"/>
      <c r="X15" s="308" t="s">
        <v>90</v>
      </c>
      <c r="Y15" s="308">
        <f t="shared" si="0"/>
        <v>11.122563511022431</v>
      </c>
      <c r="Z15" s="308" t="s">
        <v>92</v>
      </c>
      <c r="AA15" s="308">
        <f t="shared" si="1"/>
        <v>-0.58093174256210744</v>
      </c>
      <c r="AB15" s="308" t="s">
        <v>91</v>
      </c>
      <c r="AC15" s="308">
        <f t="shared" si="2"/>
        <v>2077.8792029000001</v>
      </c>
      <c r="AD15" s="308" t="s">
        <v>221</v>
      </c>
      <c r="AE15" s="308">
        <f t="shared" si="3"/>
        <v>-6.1875403718087307</v>
      </c>
      <c r="AF15" s="308" t="s">
        <v>215</v>
      </c>
      <c r="AG15" s="308">
        <f t="shared" si="4"/>
        <v>1.7699577099401065</v>
      </c>
      <c r="AH15" s="308"/>
      <c r="AI15" s="308" t="s">
        <v>90</v>
      </c>
      <c r="AJ15" s="308">
        <f t="shared" si="5"/>
        <v>120.98379237783338</v>
      </c>
      <c r="AK15" s="308" t="s">
        <v>92</v>
      </c>
      <c r="AL15" s="308">
        <f t="shared" si="6"/>
        <v>141.56095817893149</v>
      </c>
      <c r="AM15" s="308" t="s">
        <v>91</v>
      </c>
      <c r="AN15" s="308">
        <f t="shared" si="7"/>
        <v>2576.4510968999998</v>
      </c>
      <c r="AO15" s="308" t="s">
        <v>221</v>
      </c>
      <c r="AP15" s="308">
        <f t="shared" si="8"/>
        <v>64.45677291404732</v>
      </c>
      <c r="AQ15" s="308" t="s">
        <v>215</v>
      </c>
      <c r="AR15" s="308">
        <f t="shared" si="9"/>
        <v>53.649337051456897</v>
      </c>
      <c r="AS15" s="308"/>
    </row>
    <row r="16" spans="1:45">
      <c r="A16" s="272"/>
      <c r="B16" s="272"/>
      <c r="C16" s="272"/>
      <c r="D16" s="272"/>
      <c r="E16" s="272"/>
      <c r="F16" s="272"/>
      <c r="G16" s="272"/>
      <c r="H16" s="272"/>
      <c r="I16" s="272"/>
      <c r="J16" s="272"/>
      <c r="K16" s="272"/>
      <c r="L16" s="308">
        <v>1924</v>
      </c>
      <c r="M16" s="308" t="s">
        <v>90</v>
      </c>
      <c r="N16" s="308">
        <v>0.2599175109529025</v>
      </c>
      <c r="O16" s="308" t="s">
        <v>92</v>
      </c>
      <c r="P16" s="308">
        <v>0.1097706</v>
      </c>
      <c r="Q16" s="308" t="s">
        <v>91</v>
      </c>
      <c r="R16" s="308">
        <v>19.802945276729737</v>
      </c>
      <c r="S16" s="308" t="s">
        <v>221</v>
      </c>
      <c r="T16" s="308">
        <v>4.3192772805729289</v>
      </c>
      <c r="U16" s="308" t="s">
        <v>215</v>
      </c>
      <c r="V16" s="308">
        <v>13.846564769939288</v>
      </c>
      <c r="W16" s="308"/>
      <c r="X16" s="308" t="s">
        <v>90</v>
      </c>
      <c r="Y16" s="308">
        <f t="shared" si="0"/>
        <v>13.133600206108721</v>
      </c>
      <c r="Z16" s="308" t="s">
        <v>92</v>
      </c>
      <c r="AA16" s="308">
        <f t="shared" si="1"/>
        <v>3.4597099340958337</v>
      </c>
      <c r="AB16" s="308" t="s">
        <v>91</v>
      </c>
      <c r="AC16" s="308">
        <f t="shared" si="2"/>
        <v>211.52630390000002</v>
      </c>
      <c r="AD16" s="308" t="s">
        <v>221</v>
      </c>
      <c r="AE16" s="308">
        <f t="shared" si="3"/>
        <v>-0.70246149369641575</v>
      </c>
      <c r="AF16" s="308" t="s">
        <v>215</v>
      </c>
      <c r="AG16" s="308">
        <f t="shared" si="4"/>
        <v>0</v>
      </c>
      <c r="AH16" s="308"/>
      <c r="AI16" s="308" t="s">
        <v>90</v>
      </c>
      <c r="AJ16" s="308">
        <f t="shared" si="5"/>
        <v>134.11739258394209</v>
      </c>
      <c r="AK16" s="308" t="s">
        <v>92</v>
      </c>
      <c r="AL16" s="308">
        <f t="shared" si="6"/>
        <v>145.02066811302731</v>
      </c>
      <c r="AM16" s="308" t="s">
        <v>91</v>
      </c>
      <c r="AN16" s="308">
        <f t="shared" si="7"/>
        <v>2787.9774007999999</v>
      </c>
      <c r="AO16" s="308" t="s">
        <v>221</v>
      </c>
      <c r="AP16" s="308">
        <f t="shared" si="8"/>
        <v>63.754311420350902</v>
      </c>
      <c r="AQ16" s="308" t="s">
        <v>215</v>
      </c>
      <c r="AR16" s="308">
        <f t="shared" si="9"/>
        <v>53.649337051456897</v>
      </c>
      <c r="AS16" s="308"/>
    </row>
    <row r="17" spans="1:45">
      <c r="A17" s="272"/>
      <c r="B17" s="272"/>
      <c r="C17" s="272"/>
      <c r="D17" s="272"/>
      <c r="E17" s="272"/>
      <c r="F17" s="272"/>
      <c r="G17" s="272"/>
      <c r="H17" s="272"/>
      <c r="I17" s="272"/>
      <c r="J17" s="272"/>
      <c r="K17" s="272"/>
      <c r="L17" s="308">
        <v>1925</v>
      </c>
      <c r="M17" s="308" t="s">
        <v>90</v>
      </c>
      <c r="N17" s="308">
        <v>0.27591243470385035</v>
      </c>
      <c r="O17" s="308" t="s">
        <v>92</v>
      </c>
      <c r="P17" s="308">
        <v>0.1233118</v>
      </c>
      <c r="Q17" s="308" t="s">
        <v>91</v>
      </c>
      <c r="R17" s="308">
        <v>21.659471359825421</v>
      </c>
      <c r="S17" s="308" t="s">
        <v>221</v>
      </c>
      <c r="T17" s="308">
        <v>4.3322351124146472</v>
      </c>
      <c r="U17" s="308" t="s">
        <v>215</v>
      </c>
      <c r="V17" s="308">
        <v>14.170461021867693</v>
      </c>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row>
    <row r="18" spans="1:45">
      <c r="A18" s="272"/>
      <c r="B18" s="272"/>
      <c r="C18" s="272"/>
      <c r="D18" s="272"/>
      <c r="E18" s="272"/>
      <c r="F18" s="272"/>
      <c r="G18" s="272"/>
      <c r="H18" s="272"/>
      <c r="I18" s="272"/>
      <c r="J18" s="272"/>
      <c r="K18" s="272"/>
      <c r="L18" s="308">
        <v>1926</v>
      </c>
      <c r="M18" s="308" t="s">
        <v>90</v>
      </c>
      <c r="N18" s="308">
        <v>0.35988578439632657</v>
      </c>
      <c r="O18" s="308" t="s">
        <v>92</v>
      </c>
      <c r="P18" s="308">
        <v>0.1330171</v>
      </c>
      <c r="Q18" s="308" t="s">
        <v>91</v>
      </c>
      <c r="R18" s="308">
        <v>21.814181896394679</v>
      </c>
      <c r="S18" s="308" t="s">
        <v>221</v>
      </c>
      <c r="T18" s="308">
        <v>4.2975772315153291</v>
      </c>
      <c r="U18" s="308" t="s">
        <v>215</v>
      </c>
      <c r="V18" s="308">
        <v>14.332409147831894</v>
      </c>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row>
    <row r="19" spans="1:45">
      <c r="A19" s="272"/>
      <c r="B19" s="272"/>
      <c r="C19" s="272"/>
      <c r="D19" s="272"/>
      <c r="E19" s="272"/>
      <c r="F19" s="272"/>
      <c r="G19" s="272"/>
      <c r="H19" s="272"/>
      <c r="I19" s="272"/>
      <c r="J19" s="272"/>
      <c r="K19" s="272"/>
      <c r="L19" s="308">
        <v>1927</v>
      </c>
      <c r="M19" s="308" t="s">
        <v>90</v>
      </c>
      <c r="N19" s="308">
        <v>0.37588070814727442</v>
      </c>
      <c r="O19" s="308" t="s">
        <v>92</v>
      </c>
      <c r="P19" s="308">
        <v>0.1216127</v>
      </c>
      <c r="Q19" s="308" t="s">
        <v>91</v>
      </c>
      <c r="R19" s="308">
        <v>22.89715545688216</v>
      </c>
      <c r="S19" s="308" t="s">
        <v>221</v>
      </c>
      <c r="T19" s="308">
        <v>4.1944353779589614</v>
      </c>
      <c r="U19" s="308" t="s">
        <v>215</v>
      </c>
      <c r="V19" s="308">
        <v>14.08948695888559</v>
      </c>
      <c r="W19" s="308"/>
      <c r="X19" s="308"/>
      <c r="Y19" s="308">
        <f>(LN(N16)-LN(N6))*100</f>
        <v>134.11739258394212</v>
      </c>
      <c r="Z19" s="308"/>
      <c r="AA19" s="308">
        <f>(LN(P16)-LN(P6))*100</f>
        <v>145.02066811302731</v>
      </c>
      <c r="AB19" s="308"/>
      <c r="AC19" s="308">
        <f>(LN(R16)-LN(R6))*100</f>
        <v>2787.9774007999999</v>
      </c>
      <c r="AD19" s="308"/>
      <c r="AE19" s="308">
        <f>(LN(T16)-LN(T6))*100</f>
        <v>63.754311420350909</v>
      </c>
      <c r="AF19" s="308"/>
      <c r="AG19" s="308">
        <f>(LN(V16)-LN(V6))*100</f>
        <v>53.649337051456889</v>
      </c>
      <c r="AH19" s="308"/>
      <c r="AI19" s="308"/>
      <c r="AJ19" s="308"/>
      <c r="AK19" s="308"/>
      <c r="AL19" s="308"/>
      <c r="AM19" s="308"/>
      <c r="AN19" s="308"/>
      <c r="AO19" s="308"/>
      <c r="AP19" s="308"/>
      <c r="AQ19" s="308"/>
      <c r="AR19" s="308"/>
      <c r="AS19" s="308"/>
    </row>
    <row r="20" spans="1:45">
      <c r="A20" s="272"/>
      <c r="B20" s="272"/>
      <c r="C20" s="272"/>
      <c r="D20" s="272"/>
      <c r="E20" s="272"/>
      <c r="F20" s="272"/>
      <c r="G20" s="272"/>
      <c r="H20" s="272"/>
      <c r="I20" s="272"/>
      <c r="J20" s="272"/>
      <c r="K20" s="272"/>
      <c r="L20" s="308">
        <v>1928</v>
      </c>
      <c r="M20" s="308" t="s">
        <v>90</v>
      </c>
      <c r="N20" s="308">
        <v>0.37588070814727442</v>
      </c>
      <c r="O20" s="308" t="s">
        <v>92</v>
      </c>
      <c r="P20" s="308">
        <v>0.1127054</v>
      </c>
      <c r="Q20" s="308" t="s">
        <v>91</v>
      </c>
      <c r="R20" s="308">
        <v>23.515997494325248</v>
      </c>
      <c r="S20" s="308" t="s">
        <v>221</v>
      </c>
      <c r="T20" s="308">
        <v>4.1818520718250847</v>
      </c>
      <c r="U20" s="308" t="s">
        <v>215</v>
      </c>
      <c r="V20" s="308">
        <v>13.84656476993929</v>
      </c>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row>
    <row r="21" spans="1:45">
      <c r="A21" s="272"/>
      <c r="B21" s="272"/>
      <c r="C21" s="272"/>
      <c r="D21" s="272"/>
      <c r="E21" s="272"/>
      <c r="F21" s="272"/>
      <c r="G21" s="272"/>
      <c r="H21" s="272"/>
      <c r="I21" s="272"/>
      <c r="J21" s="272"/>
      <c r="K21" s="272"/>
      <c r="L21" s="308">
        <v>1929</v>
      </c>
      <c r="M21" s="308" t="s">
        <v>90</v>
      </c>
      <c r="N21" s="308">
        <v>0.39987309377369623</v>
      </c>
      <c r="O21" s="308" t="s">
        <v>92</v>
      </c>
      <c r="P21" s="308">
        <v>0.1145075</v>
      </c>
      <c r="Q21" s="308" t="s">
        <v>91</v>
      </c>
      <c r="R21" s="308">
        <v>23.825418524295419</v>
      </c>
      <c r="S21" s="308" t="s">
        <v>221</v>
      </c>
      <c r="T21" s="308">
        <v>4.1442154031786584</v>
      </c>
      <c r="U21" s="308" t="s">
        <v>215</v>
      </c>
      <c r="V21" s="308">
        <v>13.84656476993929</v>
      </c>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row>
    <row r="22" spans="1:45">
      <c r="A22" s="272"/>
      <c r="B22" s="272"/>
      <c r="C22" s="272"/>
      <c r="D22" s="272"/>
      <c r="E22" s="272"/>
      <c r="F22" s="272"/>
      <c r="G22" s="272"/>
      <c r="H22" s="272"/>
      <c r="I22" s="272"/>
      <c r="J22" s="272"/>
      <c r="K22" s="272"/>
      <c r="L22" s="308">
        <v>1930</v>
      </c>
      <c r="M22" s="308" t="s">
        <v>90</v>
      </c>
      <c r="N22" s="308">
        <v>0.40387182471143318</v>
      </c>
      <c r="O22" s="308" t="s">
        <v>92</v>
      </c>
      <c r="P22" s="308">
        <v>0.11087760000000001</v>
      </c>
      <c r="Q22" s="308" t="s">
        <v>91</v>
      </c>
      <c r="R22" s="308">
        <v>22.89715545688216</v>
      </c>
      <c r="S22" s="308" t="s">
        <v>221</v>
      </c>
      <c r="T22" s="308">
        <v>4.0281773718896563</v>
      </c>
      <c r="U22" s="308" t="s">
        <v>215</v>
      </c>
      <c r="V22" s="308">
        <v>13.522668518010883</v>
      </c>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row>
    <row r="23" spans="1:45">
      <c r="A23" s="272"/>
      <c r="B23" s="272"/>
      <c r="C23" s="272"/>
      <c r="D23" s="272"/>
      <c r="E23" s="272"/>
      <c r="F23" s="272"/>
      <c r="G23" s="272"/>
      <c r="H23" s="272"/>
      <c r="I23" s="272"/>
      <c r="J23" s="272"/>
      <c r="K23" s="272"/>
      <c r="L23" s="308">
        <v>1931</v>
      </c>
      <c r="M23" s="308" t="s">
        <v>90</v>
      </c>
      <c r="N23" s="308">
        <v>0.38787690096048538</v>
      </c>
      <c r="O23" s="308" t="s">
        <v>92</v>
      </c>
      <c r="P23" s="308">
        <v>0.1001683</v>
      </c>
      <c r="Q23" s="308" t="s">
        <v>91</v>
      </c>
      <c r="R23" s="308">
        <v>21.040629339347035</v>
      </c>
      <c r="S23" s="308" t="s">
        <v>221</v>
      </c>
      <c r="T23" s="308">
        <v>3.8549657448984012</v>
      </c>
      <c r="U23" s="308" t="s">
        <v>215</v>
      </c>
      <c r="V23" s="308">
        <v>12.308057573279367</v>
      </c>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row>
    <row r="24" spans="1:45">
      <c r="A24" s="272"/>
      <c r="B24" s="272"/>
      <c r="C24" s="272"/>
      <c r="D24" s="272"/>
      <c r="E24" s="272"/>
      <c r="F24" s="272"/>
      <c r="G24" s="272"/>
      <c r="H24" s="272"/>
      <c r="I24" s="272"/>
      <c r="J24" s="272"/>
      <c r="K24" s="272"/>
      <c r="L24" s="308">
        <v>1932</v>
      </c>
      <c r="M24" s="308" t="s">
        <v>90</v>
      </c>
      <c r="N24" s="308">
        <v>0.35188832252085273</v>
      </c>
      <c r="O24" s="308" t="s">
        <v>92</v>
      </c>
      <c r="P24" s="308">
        <v>9.7542400000000001E-2</v>
      </c>
      <c r="Q24" s="308" t="s">
        <v>91</v>
      </c>
      <c r="R24" s="308">
        <v>18.719971694232836</v>
      </c>
      <c r="S24" s="308" t="s">
        <v>221</v>
      </c>
      <c r="T24" s="308">
        <v>3.7547366355310428</v>
      </c>
      <c r="U24" s="308" t="s">
        <v>215</v>
      </c>
      <c r="V24" s="308">
        <v>11.09344662854785</v>
      </c>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row>
    <row r="25" spans="1:45">
      <c r="A25" s="272"/>
      <c r="B25" s="272"/>
      <c r="C25" s="272"/>
      <c r="D25" s="272"/>
      <c r="E25" s="272"/>
      <c r="F25" s="272"/>
      <c r="G25" s="272"/>
      <c r="H25" s="272"/>
      <c r="I25" s="272"/>
      <c r="J25" s="272"/>
      <c r="K25" s="272"/>
      <c r="L25" s="308">
        <v>1933</v>
      </c>
      <c r="M25" s="308" t="s">
        <v>90</v>
      </c>
      <c r="N25" s="308">
        <v>0.33989212970764182</v>
      </c>
      <c r="O25" s="308" t="s">
        <v>92</v>
      </c>
      <c r="P25" s="308">
        <v>9.1775899999999994E-2</v>
      </c>
      <c r="Q25" s="308" t="s">
        <v>91</v>
      </c>
      <c r="R25" s="308">
        <v>18.255840167016665</v>
      </c>
      <c r="S25" s="308" t="s">
        <v>221</v>
      </c>
      <c r="T25" s="308">
        <v>3.6758871661848906</v>
      </c>
      <c r="U25" s="308" t="s">
        <v>215</v>
      </c>
      <c r="V25" s="308">
        <v>10.526628187673143</v>
      </c>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row>
    <row r="26" spans="1:45">
      <c r="L26" s="308">
        <v>1934</v>
      </c>
      <c r="M26" s="308" t="s">
        <v>90</v>
      </c>
      <c r="N26" s="308">
        <v>0.32789593689443092</v>
      </c>
      <c r="O26" s="308" t="s">
        <v>92</v>
      </c>
      <c r="P26" s="308">
        <v>8.7039000000000005E-2</v>
      </c>
      <c r="Q26" s="308" t="s">
        <v>91</v>
      </c>
      <c r="R26" s="308">
        <v>18.719971694232839</v>
      </c>
      <c r="S26" s="308" t="s">
        <v>221</v>
      </c>
      <c r="T26" s="308">
        <v>3.6758871661848906</v>
      </c>
      <c r="U26" s="308" t="s">
        <v>215</v>
      </c>
      <c r="V26" s="308">
        <v>10.850524439601546</v>
      </c>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row>
    <row r="27" spans="1:45">
      <c r="L27" s="308">
        <v>1935</v>
      </c>
      <c r="M27" s="308" t="s">
        <v>90</v>
      </c>
      <c r="N27" s="308">
        <v>0.29990482033027216</v>
      </c>
      <c r="O27" s="308" t="s">
        <v>92</v>
      </c>
      <c r="P27" s="308">
        <v>8.8274699999999998E-2</v>
      </c>
      <c r="Q27" s="308" t="s">
        <v>91</v>
      </c>
      <c r="R27" s="308">
        <v>19.02939269921157</v>
      </c>
      <c r="S27" s="308" t="s">
        <v>221</v>
      </c>
      <c r="T27" s="308">
        <v>3.701618376348184</v>
      </c>
      <c r="U27" s="308" t="s">
        <v>215</v>
      </c>
      <c r="V27" s="308">
        <v>11.09344662854785</v>
      </c>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row>
    <row r="28" spans="1:45">
      <c r="L28" s="308">
        <v>1936</v>
      </c>
      <c r="M28" s="308" t="s">
        <v>90</v>
      </c>
      <c r="N28" s="308">
        <v>0.31989847501895696</v>
      </c>
      <c r="O28" s="308" t="s">
        <v>92</v>
      </c>
      <c r="P28" s="308">
        <v>9.4942299999999993E-2</v>
      </c>
      <c r="Q28" s="308" t="s">
        <v>91</v>
      </c>
      <c r="R28" s="308">
        <v>19.184103223682772</v>
      </c>
      <c r="S28" s="308" t="s">
        <v>221</v>
      </c>
      <c r="T28" s="308">
        <v>3.7275297049826217</v>
      </c>
      <c r="U28" s="308" t="s">
        <v>215</v>
      </c>
      <c r="V28" s="308">
        <v>11.255394754512054</v>
      </c>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row>
    <row r="29" spans="1:45">
      <c r="L29" s="308">
        <v>1937</v>
      </c>
      <c r="M29" s="308" t="s">
        <v>90</v>
      </c>
      <c r="N29" s="308">
        <v>0.40387182471143318</v>
      </c>
      <c r="O29" s="308" t="s">
        <v>92</v>
      </c>
      <c r="P29" s="308">
        <v>0.1039268</v>
      </c>
      <c r="Q29" s="308" t="s">
        <v>91</v>
      </c>
      <c r="R29" s="308">
        <v>19.338813739405722</v>
      </c>
      <c r="S29" s="308" t="s">
        <v>221</v>
      </c>
      <c r="T29" s="308">
        <v>3.8542657149520312</v>
      </c>
      <c r="U29" s="308" t="s">
        <v>215</v>
      </c>
      <c r="V29" s="308">
        <v>11.660265069422559</v>
      </c>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row>
    <row r="30" spans="1:45">
      <c r="L30" s="308">
        <v>1938</v>
      </c>
      <c r="M30" s="308" t="s">
        <v>90</v>
      </c>
      <c r="N30" s="308">
        <v>0.45985405783975064</v>
      </c>
      <c r="O30" s="308" t="s">
        <v>92</v>
      </c>
      <c r="P30" s="308">
        <v>0.1119073</v>
      </c>
      <c r="Q30" s="308" t="s">
        <v>91</v>
      </c>
      <c r="R30" s="308">
        <v>19.493524236666229</v>
      </c>
      <c r="S30" s="308" t="s">
        <v>221</v>
      </c>
      <c r="T30" s="308">
        <v>3.9159339663912647</v>
      </c>
      <c r="U30" s="308" t="s">
        <v>215</v>
      </c>
      <c r="V30" s="308">
        <v>11.417342880476255</v>
      </c>
      <c r="W30" s="308"/>
      <c r="X30" s="308"/>
      <c r="Y30" s="308" t="s">
        <v>90</v>
      </c>
      <c r="Z30" s="308"/>
      <c r="AA30" s="308" t="s">
        <v>92</v>
      </c>
      <c r="AB30" s="308"/>
      <c r="AC30" s="308" t="s">
        <v>91</v>
      </c>
      <c r="AD30" s="308"/>
      <c r="AE30" s="308" t="s">
        <v>221</v>
      </c>
      <c r="AF30" s="308"/>
      <c r="AG30" s="308" t="s">
        <v>215</v>
      </c>
      <c r="AH30" s="308"/>
      <c r="AI30" s="308"/>
      <c r="AJ30" s="308" t="s">
        <v>887</v>
      </c>
      <c r="AK30" s="308"/>
      <c r="AL30" s="308" t="s">
        <v>888</v>
      </c>
      <c r="AM30" s="308"/>
      <c r="AN30" s="308" t="s">
        <v>91</v>
      </c>
      <c r="AO30" s="308"/>
      <c r="AP30" s="308" t="s">
        <v>221</v>
      </c>
      <c r="AQ30" s="308"/>
      <c r="AR30" s="308" t="s">
        <v>215</v>
      </c>
      <c r="AS30" s="308"/>
    </row>
    <row r="31" spans="1:45">
      <c r="L31" s="308">
        <v>1939</v>
      </c>
      <c r="M31" s="308" t="s">
        <v>90</v>
      </c>
      <c r="N31" s="308">
        <v>0.4878451744039094</v>
      </c>
      <c r="O31" s="308" t="s">
        <v>92</v>
      </c>
      <c r="P31" s="308">
        <v>0.1168501</v>
      </c>
      <c r="Q31" s="308" t="s">
        <v>91</v>
      </c>
      <c r="R31" s="308">
        <v>19.493524236666229</v>
      </c>
      <c r="S31" s="308" t="s">
        <v>221</v>
      </c>
      <c r="T31" s="308">
        <v>4.0255801174502199</v>
      </c>
      <c r="U31" s="308" t="s">
        <v>215</v>
      </c>
      <c r="V31" s="308">
        <v>11.255394754512054</v>
      </c>
      <c r="W31" s="308"/>
      <c r="X31" s="308" t="s">
        <v>90</v>
      </c>
      <c r="Y31" s="308">
        <v>0</v>
      </c>
      <c r="Z31" s="308" t="s">
        <v>92</v>
      </c>
      <c r="AA31" s="308">
        <v>0</v>
      </c>
      <c r="AB31" s="308" t="s">
        <v>91</v>
      </c>
      <c r="AC31" s="308">
        <v>0</v>
      </c>
      <c r="AD31" s="308" t="s">
        <v>221</v>
      </c>
      <c r="AE31" s="308">
        <v>0</v>
      </c>
      <c r="AF31" s="308" t="s">
        <v>215</v>
      </c>
      <c r="AG31" s="308">
        <v>0</v>
      </c>
      <c r="AH31" s="308"/>
      <c r="AI31" s="308" t="s">
        <v>90</v>
      </c>
      <c r="AJ31" s="308">
        <v>0</v>
      </c>
      <c r="AK31" s="308" t="s">
        <v>92</v>
      </c>
      <c r="AL31" s="308">
        <v>0</v>
      </c>
      <c r="AM31" s="308" t="s">
        <v>91</v>
      </c>
      <c r="AN31" s="308">
        <v>0</v>
      </c>
      <c r="AO31" s="308" t="s">
        <v>221</v>
      </c>
      <c r="AP31" s="308">
        <v>0</v>
      </c>
      <c r="AQ31" s="308" t="s">
        <v>215</v>
      </c>
      <c r="AR31" s="308">
        <v>0</v>
      </c>
      <c r="AS31" s="308"/>
    </row>
    <row r="32" spans="1:45">
      <c r="L32" s="308">
        <v>1940</v>
      </c>
      <c r="M32" s="308" t="s">
        <v>90</v>
      </c>
      <c r="N32" s="308">
        <v>0.57981598597185957</v>
      </c>
      <c r="O32" s="308" t="s">
        <v>92</v>
      </c>
      <c r="P32" s="308">
        <v>0.1363637</v>
      </c>
      <c r="Q32" s="308" t="s">
        <v>91</v>
      </c>
      <c r="R32" s="308">
        <v>20.112366285899107</v>
      </c>
      <c r="S32" s="308" t="s">
        <v>221</v>
      </c>
      <c r="T32" s="308">
        <v>4.7018775771818575</v>
      </c>
      <c r="U32" s="308" t="s">
        <v>215</v>
      </c>
      <c r="V32" s="308">
        <v>11.336368817494154</v>
      </c>
      <c r="W32" s="308"/>
      <c r="X32" s="308" t="s">
        <v>90</v>
      </c>
      <c r="Y32" s="308">
        <f t="shared" ref="Y32:Y41" si="10">(LN(N32)-LN(N31))*100</f>
        <v>17.271269768731791</v>
      </c>
      <c r="Z32" s="308" t="s">
        <v>92</v>
      </c>
      <c r="AA32" s="308">
        <f t="shared" ref="AA32:AA41" si="11">(LN(P32)-LN(P31))*100</f>
        <v>15.443366417595627</v>
      </c>
      <c r="AB32" s="308" t="s">
        <v>91</v>
      </c>
      <c r="AC32" s="308">
        <f t="shared" ref="AC32:AC41" si="12">(LN(R32)-LN(R31))*100</f>
        <v>3.1252543999999993</v>
      </c>
      <c r="AD32" s="308" t="s">
        <v>221</v>
      </c>
      <c r="AE32" s="308">
        <f t="shared" ref="AE32:AE41" si="13">(LN(T32)-LN(T31))*100</f>
        <v>15.529288440603551</v>
      </c>
      <c r="AF32" s="308" t="s">
        <v>215</v>
      </c>
      <c r="AG32" s="308">
        <f t="shared" ref="AG32:AG41" si="14">(LN(V32)-LN(V31))*100</f>
        <v>0.71684894786128162</v>
      </c>
      <c r="AH32" s="308"/>
      <c r="AI32" s="308" t="s">
        <v>90</v>
      </c>
      <c r="AJ32" s="308">
        <f t="shared" ref="AJ32:AJ41" si="15">AJ31+Y32</f>
        <v>17.271269768731791</v>
      </c>
      <c r="AK32" s="308" t="s">
        <v>92</v>
      </c>
      <c r="AL32" s="308">
        <f t="shared" ref="AL32:AL41" si="16">AL31+AA32</f>
        <v>15.443366417595627</v>
      </c>
      <c r="AM32" s="308" t="s">
        <v>91</v>
      </c>
      <c r="AN32" s="308">
        <f t="shared" ref="AN32:AN41" si="17">AN31+AC32</f>
        <v>3.1252543999999993</v>
      </c>
      <c r="AO32" s="308" t="s">
        <v>221</v>
      </c>
      <c r="AP32" s="308">
        <f t="shared" ref="AP32:AP41" si="18">AP31+AE32</f>
        <v>15.529288440603551</v>
      </c>
      <c r="AQ32" s="308" t="s">
        <v>215</v>
      </c>
      <c r="AR32" s="308">
        <f t="shared" ref="AR32:AR41" si="19">AR31+AG32</f>
        <v>0.71684894786128162</v>
      </c>
      <c r="AS32" s="308"/>
    </row>
    <row r="33" spans="12:45">
      <c r="L33" s="308">
        <v>1941</v>
      </c>
      <c r="M33" s="308" t="s">
        <v>90</v>
      </c>
      <c r="N33" s="308">
        <v>0.67978425941528364</v>
      </c>
      <c r="O33" s="308" t="s">
        <v>92</v>
      </c>
      <c r="P33" s="308">
        <v>0.15778239999999999</v>
      </c>
      <c r="Q33" s="308" t="s">
        <v>91</v>
      </c>
      <c r="R33" s="308">
        <v>20.576497820385075</v>
      </c>
      <c r="S33" s="308" t="s">
        <v>221</v>
      </c>
      <c r="T33" s="308">
        <v>5.2096803555174986</v>
      </c>
      <c r="U33" s="308" t="s">
        <v>215</v>
      </c>
      <c r="V33" s="308">
        <v>11.903187258368861</v>
      </c>
      <c r="W33" s="308"/>
      <c r="X33" s="308" t="s">
        <v>90</v>
      </c>
      <c r="Y33" s="308">
        <f t="shared" si="10"/>
        <v>15.906469462968737</v>
      </c>
      <c r="Z33" s="308" t="s">
        <v>92</v>
      </c>
      <c r="AA33" s="308">
        <f t="shared" si="11"/>
        <v>14.589128764613335</v>
      </c>
      <c r="AB33" s="308" t="s">
        <v>91</v>
      </c>
      <c r="AC33" s="308">
        <f t="shared" si="12"/>
        <v>2.2814677999999589</v>
      </c>
      <c r="AD33" s="308" t="s">
        <v>221</v>
      </c>
      <c r="AE33" s="308">
        <f t="shared" si="13"/>
        <v>10.255658832509207</v>
      </c>
      <c r="AF33" s="308" t="s">
        <v>215</v>
      </c>
      <c r="AG33" s="308">
        <f t="shared" si="14"/>
        <v>4.8790164169431716</v>
      </c>
      <c r="AH33" s="308"/>
      <c r="AI33" s="308" t="s">
        <v>90</v>
      </c>
      <c r="AJ33" s="308">
        <f t="shared" si="15"/>
        <v>33.177739231700528</v>
      </c>
      <c r="AK33" s="308" t="s">
        <v>92</v>
      </c>
      <c r="AL33" s="308">
        <f t="shared" si="16"/>
        <v>30.032495182208962</v>
      </c>
      <c r="AM33" s="308" t="s">
        <v>91</v>
      </c>
      <c r="AN33" s="308">
        <f t="shared" si="17"/>
        <v>5.4067221999999582</v>
      </c>
      <c r="AO33" s="308" t="s">
        <v>221</v>
      </c>
      <c r="AP33" s="308">
        <f t="shared" si="18"/>
        <v>25.784947273112756</v>
      </c>
      <c r="AQ33" s="308" t="s">
        <v>215</v>
      </c>
      <c r="AR33" s="308">
        <f t="shared" si="19"/>
        <v>5.5958653648044532</v>
      </c>
      <c r="AS33" s="308"/>
    </row>
    <row r="34" spans="12:45">
      <c r="L34" s="308">
        <v>1942</v>
      </c>
      <c r="M34" s="308" t="s">
        <v>90</v>
      </c>
      <c r="N34" s="308">
        <v>0.81973984223607732</v>
      </c>
      <c r="O34" s="308" t="s">
        <v>92</v>
      </c>
      <c r="P34" s="308">
        <v>0.18236749999999999</v>
      </c>
      <c r="Q34" s="308" t="s">
        <v>91</v>
      </c>
      <c r="R34" s="308">
        <v>21.195339868439003</v>
      </c>
      <c r="S34" s="308" t="s">
        <v>221</v>
      </c>
      <c r="T34" s="308">
        <v>5.579567660759241</v>
      </c>
      <c r="U34" s="308" t="s">
        <v>215</v>
      </c>
      <c r="V34" s="308">
        <v>13.19877226608248</v>
      </c>
      <c r="W34" s="308"/>
      <c r="X34" s="308" t="s">
        <v>90</v>
      </c>
      <c r="Y34" s="308">
        <f t="shared" si="10"/>
        <v>18.721154208814639</v>
      </c>
      <c r="Z34" s="308" t="s">
        <v>92</v>
      </c>
      <c r="AA34" s="308">
        <f t="shared" si="11"/>
        <v>14.480701333513668</v>
      </c>
      <c r="AB34" s="308" t="s">
        <v>91</v>
      </c>
      <c r="AC34" s="308">
        <f t="shared" si="12"/>
        <v>2.9631798000000042</v>
      </c>
      <c r="AD34" s="308" t="s">
        <v>221</v>
      </c>
      <c r="AE34" s="308">
        <f t="shared" si="13"/>
        <v>6.8592791465611702</v>
      </c>
      <c r="AF34" s="308" t="s">
        <v>215</v>
      </c>
      <c r="AG34" s="308">
        <f t="shared" si="14"/>
        <v>10.331761402802631</v>
      </c>
      <c r="AH34" s="308"/>
      <c r="AI34" s="308" t="s">
        <v>90</v>
      </c>
      <c r="AJ34" s="308">
        <f t="shared" si="15"/>
        <v>51.898893440515167</v>
      </c>
      <c r="AK34" s="308" t="s">
        <v>92</v>
      </c>
      <c r="AL34" s="308">
        <f t="shared" si="16"/>
        <v>44.513196515722626</v>
      </c>
      <c r="AM34" s="308" t="s">
        <v>91</v>
      </c>
      <c r="AN34" s="308">
        <f t="shared" si="17"/>
        <v>8.3699019999999624</v>
      </c>
      <c r="AO34" s="308" t="s">
        <v>221</v>
      </c>
      <c r="AP34" s="308">
        <f t="shared" si="18"/>
        <v>32.644226419673927</v>
      </c>
      <c r="AQ34" s="308" t="s">
        <v>215</v>
      </c>
      <c r="AR34" s="308">
        <f t="shared" si="19"/>
        <v>15.927626767607084</v>
      </c>
      <c r="AS34" s="308"/>
    </row>
    <row r="35" spans="12:45">
      <c r="L35" s="308">
        <v>1943</v>
      </c>
      <c r="M35" s="308" t="s">
        <v>90</v>
      </c>
      <c r="N35" s="308">
        <v>1.0156776581851885</v>
      </c>
      <c r="O35" s="308" t="s">
        <v>92</v>
      </c>
      <c r="P35" s="308">
        <v>0.30583369999999999</v>
      </c>
      <c r="Q35" s="308" t="s">
        <v>91</v>
      </c>
      <c r="R35" s="308">
        <v>21.350050371401743</v>
      </c>
      <c r="S35" s="308" t="s">
        <v>221</v>
      </c>
      <c r="T35" s="308">
        <v>5.7692729612250551</v>
      </c>
      <c r="U35" s="308" t="s">
        <v>215</v>
      </c>
      <c r="V35" s="308">
        <v>14.008512895903491</v>
      </c>
      <c r="W35" s="308"/>
      <c r="X35" s="308" t="s">
        <v>90</v>
      </c>
      <c r="Y35" s="308">
        <f t="shared" si="10"/>
        <v>21.432428788012842</v>
      </c>
      <c r="Z35" s="308" t="s">
        <v>92</v>
      </c>
      <c r="AA35" s="308">
        <f t="shared" si="11"/>
        <v>51.701760823021999</v>
      </c>
      <c r="AB35" s="308" t="s">
        <v>91</v>
      </c>
      <c r="AC35" s="308">
        <f t="shared" si="12"/>
        <v>0.72727590000005726</v>
      </c>
      <c r="AD35" s="308" t="s">
        <v>221</v>
      </c>
      <c r="AE35" s="308">
        <f t="shared" si="13"/>
        <v>3.3434776086237461</v>
      </c>
      <c r="AF35" s="308" t="s">
        <v>215</v>
      </c>
      <c r="AG35" s="308">
        <f t="shared" si="14"/>
        <v>5.954139369101652</v>
      </c>
      <c r="AH35" s="308"/>
      <c r="AI35" s="308" t="s">
        <v>90</v>
      </c>
      <c r="AJ35" s="308">
        <f t="shared" si="15"/>
        <v>73.331322228528009</v>
      </c>
      <c r="AK35" s="308" t="s">
        <v>92</v>
      </c>
      <c r="AL35" s="308">
        <f t="shared" si="16"/>
        <v>96.214957338744625</v>
      </c>
      <c r="AM35" s="308" t="s">
        <v>91</v>
      </c>
      <c r="AN35" s="308">
        <f t="shared" si="17"/>
        <v>9.0971779000000197</v>
      </c>
      <c r="AO35" s="308" t="s">
        <v>221</v>
      </c>
      <c r="AP35" s="308">
        <f t="shared" si="18"/>
        <v>35.987704028297671</v>
      </c>
      <c r="AQ35" s="308" t="s">
        <v>215</v>
      </c>
      <c r="AR35" s="308">
        <f t="shared" si="19"/>
        <v>21.881766136708734</v>
      </c>
      <c r="AS35" s="308"/>
    </row>
    <row r="36" spans="12:45">
      <c r="L36" s="308">
        <v>1944</v>
      </c>
      <c r="M36" s="308" t="s">
        <v>90</v>
      </c>
      <c r="N36" s="308">
        <v>1.2436053216361955</v>
      </c>
      <c r="O36" s="308" t="s">
        <v>92</v>
      </c>
      <c r="P36" s="308">
        <v>1.3591070000000001</v>
      </c>
      <c r="Q36" s="308" t="s">
        <v>91</v>
      </c>
      <c r="R36" s="308">
        <v>21.814181896394675</v>
      </c>
      <c r="S36" s="308" t="s">
        <v>221</v>
      </c>
      <c r="T36" s="308">
        <v>5.9250433311781308</v>
      </c>
      <c r="U36" s="308" t="s">
        <v>215</v>
      </c>
      <c r="V36" s="308">
        <v>14.251435084849795</v>
      </c>
      <c r="W36" s="308"/>
      <c r="X36" s="308" t="s">
        <v>90</v>
      </c>
      <c r="Y36" s="308">
        <f t="shared" si="10"/>
        <v>20.245864516069766</v>
      </c>
      <c r="Z36" s="308" t="s">
        <v>92</v>
      </c>
      <c r="AA36" s="308">
        <f t="shared" si="11"/>
        <v>149.15416552452805</v>
      </c>
      <c r="AB36" s="308" t="s">
        <v>91</v>
      </c>
      <c r="AC36" s="308">
        <f t="shared" si="12"/>
        <v>2.1506204999999223</v>
      </c>
      <c r="AD36" s="308" t="s">
        <v>221</v>
      </c>
      <c r="AE36" s="308">
        <f t="shared" si="13"/>
        <v>2.6641930946420977</v>
      </c>
      <c r="AF36" s="308" t="s">
        <v>215</v>
      </c>
      <c r="AG36" s="308">
        <f t="shared" si="14"/>
        <v>1.7192400540372965</v>
      </c>
      <c r="AH36" s="308"/>
      <c r="AI36" s="308" t="s">
        <v>90</v>
      </c>
      <c r="AJ36" s="308">
        <f t="shared" si="15"/>
        <v>93.577186744597782</v>
      </c>
      <c r="AK36" s="308" t="s">
        <v>92</v>
      </c>
      <c r="AL36" s="308">
        <f t="shared" si="16"/>
        <v>245.36912286327268</v>
      </c>
      <c r="AM36" s="308" t="s">
        <v>91</v>
      </c>
      <c r="AN36" s="308">
        <f t="shared" si="17"/>
        <v>11.247798399999942</v>
      </c>
      <c r="AO36" s="308" t="s">
        <v>221</v>
      </c>
      <c r="AP36" s="308">
        <f t="shared" si="18"/>
        <v>38.651897122939772</v>
      </c>
      <c r="AQ36" s="308" t="s">
        <v>215</v>
      </c>
      <c r="AR36" s="308">
        <f t="shared" si="19"/>
        <v>23.60100619074603</v>
      </c>
      <c r="AS36" s="308"/>
    </row>
    <row r="37" spans="12:45">
      <c r="L37" s="308">
        <v>1945</v>
      </c>
      <c r="M37" s="308" t="s">
        <v>90</v>
      </c>
      <c r="N37" s="308">
        <v>1.8434149622967397</v>
      </c>
      <c r="O37" s="308" t="s">
        <v>92</v>
      </c>
      <c r="P37" s="308">
        <v>2.6768169999999998</v>
      </c>
      <c r="Q37" s="308" t="s">
        <v>91</v>
      </c>
      <c r="R37" s="308">
        <v>22.433023935057417</v>
      </c>
      <c r="S37" s="308" t="s">
        <v>221</v>
      </c>
      <c r="T37" s="308">
        <v>6.0909445444511183</v>
      </c>
      <c r="U37" s="308" t="s">
        <v>215</v>
      </c>
      <c r="V37" s="308">
        <v>14.575331336778198</v>
      </c>
      <c r="W37" s="308"/>
      <c r="X37" s="308" t="s">
        <v>90</v>
      </c>
      <c r="Y37" s="308">
        <f t="shared" si="10"/>
        <v>39.360513081741423</v>
      </c>
      <c r="Z37" s="308" t="s">
        <v>92</v>
      </c>
      <c r="AA37" s="308">
        <f t="shared" si="11"/>
        <v>67.780053566384026</v>
      </c>
      <c r="AB37" s="308" t="s">
        <v>91</v>
      </c>
      <c r="AC37" s="308">
        <f t="shared" si="12"/>
        <v>2.7973852000000576</v>
      </c>
      <c r="AD37" s="308" t="s">
        <v>221</v>
      </c>
      <c r="AE37" s="308">
        <f t="shared" si="13"/>
        <v>2.7615167032973398</v>
      </c>
      <c r="AF37" s="308" t="s">
        <v>215</v>
      </c>
      <c r="AG37" s="308">
        <f t="shared" si="14"/>
        <v>2.2472855852058604</v>
      </c>
      <c r="AH37" s="308"/>
      <c r="AI37" s="308" t="s">
        <v>90</v>
      </c>
      <c r="AJ37" s="308">
        <f t="shared" si="15"/>
        <v>132.93769982633921</v>
      </c>
      <c r="AK37" s="308" t="s">
        <v>92</v>
      </c>
      <c r="AL37" s="308">
        <f t="shared" si="16"/>
        <v>313.14917642965668</v>
      </c>
      <c r="AM37" s="308" t="s">
        <v>91</v>
      </c>
      <c r="AN37" s="308">
        <f t="shared" si="17"/>
        <v>14.0451836</v>
      </c>
      <c r="AO37" s="308" t="s">
        <v>221</v>
      </c>
      <c r="AP37" s="308">
        <f t="shared" si="18"/>
        <v>41.413413826237111</v>
      </c>
      <c r="AQ37" s="308" t="s">
        <v>215</v>
      </c>
      <c r="AR37" s="308">
        <f t="shared" si="19"/>
        <v>25.848291775951893</v>
      </c>
      <c r="AS37" s="308"/>
    </row>
    <row r="38" spans="12:45">
      <c r="L38" s="308">
        <v>1946</v>
      </c>
      <c r="M38" s="308" t="s">
        <v>90</v>
      </c>
      <c r="N38" s="308">
        <v>2.8111078492290846</v>
      </c>
      <c r="O38" s="308" t="s">
        <v>92</v>
      </c>
      <c r="P38" s="308">
        <v>3.1591490000000002</v>
      </c>
      <c r="Q38" s="308" t="s">
        <v>91</v>
      </c>
      <c r="R38" s="308">
        <v>24.444260548894921</v>
      </c>
      <c r="S38" s="308" t="s">
        <v>221</v>
      </c>
      <c r="T38" s="308">
        <v>6.2797638253291019</v>
      </c>
      <c r="U38" s="308" t="s">
        <v>215</v>
      </c>
      <c r="V38" s="308">
        <v>15.789942281509713</v>
      </c>
      <c r="W38" s="308"/>
      <c r="X38" s="308" t="s">
        <v>90</v>
      </c>
      <c r="Y38" s="308">
        <f t="shared" si="10"/>
        <v>42.195884881401646</v>
      </c>
      <c r="Z38" s="308" t="s">
        <v>92</v>
      </c>
      <c r="AA38" s="308">
        <f t="shared" si="11"/>
        <v>16.567428543561078</v>
      </c>
      <c r="AB38" s="308" t="s">
        <v>91</v>
      </c>
      <c r="AC38" s="308">
        <f t="shared" si="12"/>
        <v>8.5861289999999535</v>
      </c>
      <c r="AD38" s="308" t="s">
        <v>221</v>
      </c>
      <c r="AE38" s="308">
        <f t="shared" si="13"/>
        <v>3.0529205034822704</v>
      </c>
      <c r="AF38" s="308" t="s">
        <v>215</v>
      </c>
      <c r="AG38" s="308">
        <f t="shared" si="14"/>
        <v>8.004270767353594</v>
      </c>
      <c r="AH38" s="308"/>
      <c r="AI38" s="308" t="s">
        <v>90</v>
      </c>
      <c r="AJ38" s="308">
        <f t="shared" si="15"/>
        <v>175.13358470774085</v>
      </c>
      <c r="AK38" s="308" t="s">
        <v>92</v>
      </c>
      <c r="AL38" s="308">
        <f t="shared" si="16"/>
        <v>329.71660497321773</v>
      </c>
      <c r="AM38" s="308" t="s">
        <v>91</v>
      </c>
      <c r="AN38" s="308">
        <f t="shared" si="17"/>
        <v>22.631312599999951</v>
      </c>
      <c r="AO38" s="308" t="s">
        <v>221</v>
      </c>
      <c r="AP38" s="308">
        <f t="shared" si="18"/>
        <v>44.46633432971938</v>
      </c>
      <c r="AQ38" s="308" t="s">
        <v>215</v>
      </c>
      <c r="AR38" s="308">
        <f t="shared" si="19"/>
        <v>33.852562543305488</v>
      </c>
      <c r="AS38" s="308"/>
    </row>
    <row r="39" spans="12:45">
      <c r="L39" s="308">
        <v>1947</v>
      </c>
      <c r="M39" s="308" t="s">
        <v>90</v>
      </c>
      <c r="N39" s="308">
        <v>4.1946687536860736</v>
      </c>
      <c r="O39" s="308" t="s">
        <v>92</v>
      </c>
      <c r="P39" s="308">
        <v>5.1197549999999996</v>
      </c>
      <c r="Q39" s="308" t="s">
        <v>91</v>
      </c>
      <c r="R39" s="308">
        <v>26.146076159445776</v>
      </c>
      <c r="S39" s="308" t="s">
        <v>221</v>
      </c>
      <c r="T39" s="308">
        <v>6.719347293102139</v>
      </c>
      <c r="U39" s="308" t="s">
        <v>215</v>
      </c>
      <c r="V39" s="308">
        <v>18.057216045008545</v>
      </c>
      <c r="W39" s="308"/>
      <c r="X39" s="308" t="s">
        <v>90</v>
      </c>
      <c r="Y39" s="308">
        <f t="shared" si="10"/>
        <v>40.023571658563228</v>
      </c>
      <c r="Z39" s="308" t="s">
        <v>92</v>
      </c>
      <c r="AA39" s="308">
        <f t="shared" si="11"/>
        <v>48.280389881142071</v>
      </c>
      <c r="AB39" s="308" t="s">
        <v>91</v>
      </c>
      <c r="AC39" s="308">
        <f t="shared" si="12"/>
        <v>6.730368199999992</v>
      </c>
      <c r="AD39" s="308" t="s">
        <v>221</v>
      </c>
      <c r="AE39" s="308">
        <f t="shared" si="13"/>
        <v>6.7658648473814864</v>
      </c>
      <c r="AF39" s="308" t="s">
        <v>215</v>
      </c>
      <c r="AG39" s="308">
        <f t="shared" si="14"/>
        <v>13.417221289637205</v>
      </c>
      <c r="AH39" s="308"/>
      <c r="AI39" s="308" t="s">
        <v>90</v>
      </c>
      <c r="AJ39" s="308">
        <f t="shared" si="15"/>
        <v>215.15715636630409</v>
      </c>
      <c r="AK39" s="308" t="s">
        <v>92</v>
      </c>
      <c r="AL39" s="308">
        <f t="shared" si="16"/>
        <v>377.9969948543598</v>
      </c>
      <c r="AM39" s="308" t="s">
        <v>91</v>
      </c>
      <c r="AN39" s="308">
        <f t="shared" si="17"/>
        <v>29.361680799999945</v>
      </c>
      <c r="AO39" s="308" t="s">
        <v>221</v>
      </c>
      <c r="AP39" s="308">
        <f t="shared" si="18"/>
        <v>51.232199177100867</v>
      </c>
      <c r="AQ39" s="308" t="s">
        <v>215</v>
      </c>
      <c r="AR39" s="308">
        <f t="shared" si="19"/>
        <v>47.269783832942693</v>
      </c>
      <c r="AS39" s="308"/>
    </row>
    <row r="40" spans="12:45">
      <c r="L40" s="308">
        <v>1948</v>
      </c>
      <c r="M40" s="308" t="s">
        <v>90</v>
      </c>
      <c r="N40" s="308">
        <v>6.6538882803943054</v>
      </c>
      <c r="O40" s="308" t="s">
        <v>92</v>
      </c>
      <c r="P40" s="308">
        <v>5.4207999999999998</v>
      </c>
      <c r="Q40" s="308" t="s">
        <v>91</v>
      </c>
      <c r="R40" s="308">
        <v>30.168549425585496</v>
      </c>
      <c r="S40" s="308" t="s">
        <v>221</v>
      </c>
      <c r="T40" s="308">
        <v>7.2367370346710036</v>
      </c>
      <c r="U40" s="308" t="s">
        <v>215</v>
      </c>
      <c r="V40" s="308">
        <v>19.442604364604694</v>
      </c>
      <c r="W40" s="308"/>
      <c r="X40" s="308" t="s">
        <v>90</v>
      </c>
      <c r="Y40" s="308">
        <f t="shared" si="10"/>
        <v>46.13870129848565</v>
      </c>
      <c r="Z40" s="308" t="s">
        <v>92</v>
      </c>
      <c r="AA40" s="308">
        <f t="shared" si="11"/>
        <v>5.7136819691549823</v>
      </c>
      <c r="AB40" s="308" t="s">
        <v>91</v>
      </c>
      <c r="AC40" s="308">
        <f t="shared" si="12"/>
        <v>14.310084400000012</v>
      </c>
      <c r="AD40" s="308" t="s">
        <v>221</v>
      </c>
      <c r="AE40" s="308">
        <f t="shared" si="13"/>
        <v>7.4179398174251343</v>
      </c>
      <c r="AF40" s="308" t="s">
        <v>215</v>
      </c>
      <c r="AG40" s="308">
        <f t="shared" si="14"/>
        <v>7.3921373657164668</v>
      </c>
      <c r="AH40" s="308"/>
      <c r="AI40" s="308" t="s">
        <v>90</v>
      </c>
      <c r="AJ40" s="308">
        <f t="shared" si="15"/>
        <v>261.29585766478976</v>
      </c>
      <c r="AK40" s="308" t="s">
        <v>92</v>
      </c>
      <c r="AL40" s="308">
        <f t="shared" si="16"/>
        <v>383.7106768235148</v>
      </c>
      <c r="AM40" s="308" t="s">
        <v>91</v>
      </c>
      <c r="AN40" s="308">
        <f t="shared" si="17"/>
        <v>43.671765199999953</v>
      </c>
      <c r="AO40" s="308" t="s">
        <v>221</v>
      </c>
      <c r="AP40" s="308">
        <f t="shared" si="18"/>
        <v>58.650138994526003</v>
      </c>
      <c r="AQ40" s="308" t="s">
        <v>215</v>
      </c>
      <c r="AR40" s="308">
        <f t="shared" si="19"/>
        <v>54.661921198659158</v>
      </c>
      <c r="AS40" s="308"/>
    </row>
    <row r="41" spans="12:45">
      <c r="L41" s="308">
        <v>1949</v>
      </c>
      <c r="M41" s="308" t="s">
        <v>90</v>
      </c>
      <c r="N41" s="308">
        <v>7.4988264747300901</v>
      </c>
      <c r="O41" s="308" t="s">
        <v>92</v>
      </c>
      <c r="P41" s="308">
        <v>5.4585600000000003</v>
      </c>
      <c r="Q41" s="308" t="s">
        <v>91</v>
      </c>
      <c r="R41" s="308">
        <v>32.290968301784488</v>
      </c>
      <c r="S41" s="308" t="s">
        <v>221</v>
      </c>
      <c r="T41" s="308">
        <v>7.4393656716417897</v>
      </c>
      <c r="U41" s="308" t="s">
        <v>215</v>
      </c>
      <c r="V41" s="308">
        <v>19.251911322559113</v>
      </c>
      <c r="W41" s="308"/>
      <c r="X41" s="308" t="s">
        <v>90</v>
      </c>
      <c r="Y41" s="308">
        <f t="shared" si="10"/>
        <v>11.954515064978288</v>
      </c>
      <c r="Z41" s="308" t="s">
        <v>92</v>
      </c>
      <c r="AA41" s="308">
        <f t="shared" si="11"/>
        <v>0.69416126730093008</v>
      </c>
      <c r="AB41" s="308" t="s">
        <v>91</v>
      </c>
      <c r="AC41" s="308">
        <f t="shared" si="12"/>
        <v>6.798760000000037</v>
      </c>
      <c r="AD41" s="308" t="s">
        <v>221</v>
      </c>
      <c r="AE41" s="308">
        <f t="shared" si="13"/>
        <v>2.7615167032973398</v>
      </c>
      <c r="AF41" s="308" t="s">
        <v>215</v>
      </c>
      <c r="AG41" s="308">
        <f t="shared" si="14"/>
        <v>-0.98564141433583607</v>
      </c>
      <c r="AH41" s="308"/>
      <c r="AI41" s="308" t="s">
        <v>90</v>
      </c>
      <c r="AJ41" s="308">
        <f t="shared" si="15"/>
        <v>273.25037272976806</v>
      </c>
      <c r="AK41" s="308" t="s">
        <v>92</v>
      </c>
      <c r="AL41" s="308">
        <f t="shared" si="16"/>
        <v>384.40483809081576</v>
      </c>
      <c r="AM41" s="308" t="s">
        <v>91</v>
      </c>
      <c r="AN41" s="308">
        <f t="shared" si="17"/>
        <v>50.47052519999999</v>
      </c>
      <c r="AO41" s="308" t="s">
        <v>221</v>
      </c>
      <c r="AP41" s="308">
        <f t="shared" si="18"/>
        <v>61.411655697823342</v>
      </c>
      <c r="AQ41" s="308" t="s">
        <v>215</v>
      </c>
      <c r="AR41" s="308">
        <f t="shared" si="19"/>
        <v>53.67627978432332</v>
      </c>
      <c r="AS41" s="308"/>
    </row>
    <row r="42" spans="12:45">
      <c r="L42" s="308">
        <v>1950</v>
      </c>
      <c r="M42" s="308" t="s">
        <v>90</v>
      </c>
      <c r="N42" s="308">
        <v>8.2381473947739021</v>
      </c>
      <c r="O42" s="308" t="s">
        <v>92</v>
      </c>
      <c r="P42" s="308">
        <v>5.4207999999999998</v>
      </c>
      <c r="Q42" s="308" t="s">
        <v>91</v>
      </c>
      <c r="R42" s="308">
        <v>30.282438498705474</v>
      </c>
      <c r="S42" s="308" t="s">
        <v>221</v>
      </c>
      <c r="T42" s="308">
        <v>7.7308768656716405</v>
      </c>
      <c r="U42" s="308" t="s">
        <v>215</v>
      </c>
      <c r="V42" s="308">
        <v>19.456754731682281</v>
      </c>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row>
    <row r="43" spans="12:45">
      <c r="L43" s="308">
        <v>1951</v>
      </c>
      <c r="M43" s="308" t="s">
        <v>90</v>
      </c>
      <c r="N43" s="308">
        <v>9.6111719605695534</v>
      </c>
      <c r="O43" s="308" t="s">
        <v>92</v>
      </c>
      <c r="P43" s="308">
        <v>6.1951999999999998</v>
      </c>
      <c r="Q43" s="308" t="s">
        <v>91</v>
      </c>
      <c r="R43" s="308">
        <v>32.599972081874945</v>
      </c>
      <c r="S43" s="308" t="s">
        <v>221</v>
      </c>
      <c r="T43" s="308">
        <v>8.4305037313432827</v>
      </c>
      <c r="U43" s="308" t="s">
        <v>215</v>
      </c>
      <c r="V43" s="308">
        <v>21.001840051154051</v>
      </c>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row>
    <row r="44" spans="12:45">
      <c r="L44" s="308">
        <v>1952</v>
      </c>
      <c r="M44" s="308" t="s">
        <v>90</v>
      </c>
      <c r="N44" s="308">
        <v>10.772961977781257</v>
      </c>
      <c r="O44" s="308" t="s">
        <v>92</v>
      </c>
      <c r="P44" s="308">
        <v>6.3103999999999996</v>
      </c>
      <c r="Q44" s="308" t="s">
        <v>91</v>
      </c>
      <c r="R44" s="308">
        <v>33.295232181011748</v>
      </c>
      <c r="S44" s="308" t="s">
        <v>221</v>
      </c>
      <c r="T44" s="308">
        <v>9.3283582089552244</v>
      </c>
      <c r="U44" s="308" t="s">
        <v>215</v>
      </c>
      <c r="V44" s="308">
        <v>21.481604877784626</v>
      </c>
      <c r="W44" s="308"/>
      <c r="X44" s="308"/>
      <c r="Y44" s="308">
        <f>(LN(N41)-LN(N31))*100</f>
        <v>273.250372729768</v>
      </c>
      <c r="Z44" s="308"/>
      <c r="AA44" s="308">
        <f>(LN(P41)-LN(P31))*100</f>
        <v>384.40483809081576</v>
      </c>
      <c r="AB44" s="308"/>
      <c r="AC44" s="308">
        <f>(LN(R41)-LN(R31))*100</f>
        <v>50.470525199999997</v>
      </c>
      <c r="AD44" s="308"/>
      <c r="AE44" s="308">
        <f>(LN(T41)-LN(T31))*100</f>
        <v>61.411655697823342</v>
      </c>
      <c r="AF44" s="308"/>
      <c r="AG44" s="308">
        <f>(LN(V41)-LN(V31))*100</f>
        <v>53.67627978432332</v>
      </c>
      <c r="AH44" s="308"/>
      <c r="AI44" s="308"/>
      <c r="AJ44" s="308"/>
      <c r="AK44" s="308"/>
      <c r="AL44" s="308"/>
      <c r="AM44" s="308"/>
      <c r="AN44" s="308"/>
      <c r="AO44" s="308"/>
      <c r="AP44" s="308"/>
      <c r="AQ44" s="308"/>
      <c r="AR44" s="308"/>
      <c r="AS44" s="308"/>
    </row>
  </sheetData>
  <pageMargins left="0.7" right="0.7" top="0.75" bottom="0.75" header="0.3" footer="0.3"/>
  <pageSetup orientation="portrait" horizontalDpi="90" verticalDpi="9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C759-AA17-49B3-91E6-EBA8C7F8F5D8}">
  <dimension ref="B1:M35"/>
  <sheetViews>
    <sheetView zoomScaleNormal="100" workbookViewId="0">
      <selection activeCell="B88" sqref="B88:K88"/>
    </sheetView>
  </sheetViews>
  <sheetFormatPr defaultRowHeight="12.75"/>
  <sheetData>
    <row r="1" spans="2:13" ht="15">
      <c r="B1" s="278" t="s">
        <v>45</v>
      </c>
    </row>
    <row r="2" spans="2:13">
      <c r="B2" s="328" t="s">
        <v>533</v>
      </c>
    </row>
    <row r="3" spans="2:13">
      <c r="B3" s="165"/>
      <c r="C3" s="165"/>
      <c r="D3" s="165"/>
      <c r="E3" s="165"/>
      <c r="F3" s="165"/>
      <c r="G3" s="165"/>
      <c r="H3" s="165"/>
      <c r="I3" s="165"/>
      <c r="J3" s="268" t="s">
        <v>889</v>
      </c>
      <c r="K3" s="268" t="s">
        <v>266</v>
      </c>
      <c r="L3" s="268" t="s">
        <v>890</v>
      </c>
      <c r="M3" s="268" t="s">
        <v>891</v>
      </c>
    </row>
    <row r="4" spans="2:13">
      <c r="B4" s="165"/>
      <c r="C4" s="165"/>
      <c r="D4" s="165"/>
      <c r="E4" s="165"/>
      <c r="F4" s="165"/>
      <c r="G4" s="165"/>
      <c r="H4" s="165"/>
      <c r="I4" s="165"/>
      <c r="J4" s="268">
        <v>0</v>
      </c>
      <c r="K4" s="268" t="s">
        <v>272</v>
      </c>
      <c r="L4" s="269">
        <v>1.09683297188642</v>
      </c>
      <c r="M4" s="269">
        <v>6.2414589124970803</v>
      </c>
    </row>
    <row r="5" spans="2:13">
      <c r="B5" s="165"/>
      <c r="C5" s="165"/>
      <c r="D5" s="165"/>
      <c r="E5" s="165"/>
      <c r="F5" s="165"/>
      <c r="G5" s="165"/>
      <c r="H5" s="165"/>
      <c r="I5" s="165"/>
      <c r="J5" s="268">
        <v>0</v>
      </c>
      <c r="K5" s="268" t="s">
        <v>892</v>
      </c>
      <c r="L5" s="269">
        <v>1.16971367784543</v>
      </c>
      <c r="M5" s="269"/>
    </row>
    <row r="6" spans="2:13">
      <c r="B6" s="165"/>
      <c r="C6" s="165"/>
      <c r="D6" s="165"/>
      <c r="E6" s="165"/>
      <c r="F6" s="165"/>
      <c r="G6" s="165"/>
      <c r="H6" s="165"/>
      <c r="I6" s="165"/>
      <c r="J6" s="268">
        <v>0</v>
      </c>
      <c r="K6" s="268" t="s">
        <v>893</v>
      </c>
      <c r="L6" s="269">
        <v>0.90995307332225195</v>
      </c>
      <c r="M6" s="269">
        <v>2.6982714418148501</v>
      </c>
    </row>
    <row r="7" spans="2:13">
      <c r="B7" s="165"/>
      <c r="C7" s="165"/>
      <c r="D7" s="165"/>
      <c r="E7" s="165"/>
      <c r="F7" s="165"/>
      <c r="G7" s="165"/>
      <c r="H7" s="165"/>
      <c r="I7" s="165"/>
      <c r="J7" s="268">
        <v>0</v>
      </c>
      <c r="K7" s="268" t="s">
        <v>894</v>
      </c>
      <c r="L7" s="269">
        <v>1.1584973491763499</v>
      </c>
      <c r="M7" s="269">
        <v>11.498807867060901</v>
      </c>
    </row>
    <row r="8" spans="2:13">
      <c r="B8" s="165"/>
      <c r="C8" s="165"/>
      <c r="D8" s="165"/>
      <c r="E8" s="165"/>
      <c r="F8" s="165"/>
      <c r="G8" s="165"/>
      <c r="H8" s="165"/>
      <c r="I8" s="165"/>
      <c r="J8" s="268">
        <v>0</v>
      </c>
      <c r="K8" s="268" t="s">
        <v>207</v>
      </c>
      <c r="L8" s="269">
        <v>1.02424033855149</v>
      </c>
      <c r="M8" s="269">
        <v>3.8584205725834502</v>
      </c>
    </row>
    <row r="9" spans="2:13">
      <c r="B9" s="165"/>
      <c r="C9" s="165"/>
      <c r="D9" s="165"/>
      <c r="E9" s="165"/>
      <c r="F9" s="165"/>
      <c r="G9" s="165"/>
      <c r="H9" s="165"/>
      <c r="I9" s="165"/>
      <c r="J9" s="268">
        <v>0</v>
      </c>
      <c r="K9" s="268" t="s">
        <v>895</v>
      </c>
      <c r="L9" s="269">
        <v>1.1249474157436501</v>
      </c>
      <c r="M9" s="269">
        <v>6.7875871705275896</v>
      </c>
    </row>
    <row r="10" spans="2:13">
      <c r="B10" s="165"/>
      <c r="C10" s="165"/>
      <c r="D10" s="165"/>
      <c r="E10" s="165"/>
      <c r="F10" s="165"/>
      <c r="G10" s="165"/>
      <c r="H10" s="165"/>
      <c r="I10" s="165"/>
      <c r="J10" s="268">
        <v>0</v>
      </c>
      <c r="K10" s="268" t="s">
        <v>212</v>
      </c>
      <c r="L10" s="269">
        <v>1.01255852210388</v>
      </c>
      <c r="M10" s="269">
        <v>0.12389432065807</v>
      </c>
    </row>
    <row r="11" spans="2:13">
      <c r="B11" s="165"/>
      <c r="C11" s="165"/>
      <c r="D11" s="165"/>
      <c r="E11" s="165"/>
      <c r="F11" s="165"/>
      <c r="G11" s="165"/>
      <c r="H11" s="165"/>
      <c r="I11" s="165"/>
      <c r="J11" s="268">
        <v>1</v>
      </c>
      <c r="K11" s="268" t="s">
        <v>896</v>
      </c>
      <c r="L11" s="269">
        <v>1.1052750288711299</v>
      </c>
      <c r="M11" s="269">
        <v>2.1941454897664299</v>
      </c>
    </row>
    <row r="12" spans="2:13">
      <c r="B12" s="165"/>
      <c r="C12" s="165"/>
      <c r="D12" s="165"/>
      <c r="E12" s="165"/>
      <c r="F12" s="165"/>
      <c r="G12" s="165"/>
      <c r="H12" s="165"/>
      <c r="I12" s="165"/>
      <c r="J12" s="268">
        <v>1</v>
      </c>
      <c r="K12" s="268" t="s">
        <v>897</v>
      </c>
      <c r="L12" s="269">
        <v>1.0705001377162799</v>
      </c>
      <c r="M12" s="269">
        <v>2.4264019735688001</v>
      </c>
    </row>
    <row r="13" spans="2:13">
      <c r="B13" s="165"/>
      <c r="C13" s="165"/>
      <c r="D13" s="165"/>
      <c r="E13" s="165"/>
      <c r="F13" s="165"/>
      <c r="G13" s="165"/>
      <c r="H13" s="165"/>
      <c r="I13" s="165"/>
      <c r="J13" s="268">
        <v>1</v>
      </c>
      <c r="K13" s="268" t="s">
        <v>213</v>
      </c>
      <c r="L13" s="269">
        <v>1.08660918330945</v>
      </c>
      <c r="M13" s="269">
        <v>2.8330956420495199</v>
      </c>
    </row>
    <row r="14" spans="2:13">
      <c r="B14" s="165"/>
      <c r="C14" s="165"/>
      <c r="D14" s="165"/>
      <c r="E14" s="165"/>
      <c r="F14" s="165"/>
      <c r="G14" s="165"/>
      <c r="H14" s="165"/>
      <c r="I14" s="165"/>
      <c r="J14" s="268">
        <v>1</v>
      </c>
      <c r="K14" s="268" t="s">
        <v>898</v>
      </c>
      <c r="L14" s="269">
        <v>1.0788664882171799</v>
      </c>
      <c r="M14" s="269">
        <v>1.26522858579071</v>
      </c>
    </row>
    <row r="15" spans="2:13">
      <c r="B15" s="165"/>
      <c r="C15" s="165"/>
      <c r="D15" s="165"/>
      <c r="E15" s="165"/>
      <c r="F15" s="165"/>
      <c r="G15" s="165"/>
      <c r="H15" s="165"/>
      <c r="I15" s="165"/>
      <c r="J15" s="268">
        <v>1</v>
      </c>
      <c r="K15" s="268" t="s">
        <v>899</v>
      </c>
      <c r="L15" s="269">
        <v>1.0847419237026299</v>
      </c>
      <c r="M15" s="269">
        <v>9.5022857589910803</v>
      </c>
    </row>
    <row r="16" spans="2:13">
      <c r="B16" s="165"/>
      <c r="C16" s="165"/>
      <c r="D16" s="165"/>
      <c r="E16" s="165"/>
      <c r="F16" s="165"/>
      <c r="G16" s="165"/>
      <c r="H16" s="165"/>
      <c r="I16" s="165"/>
      <c r="J16" s="268">
        <v>1</v>
      </c>
      <c r="K16" s="268" t="s">
        <v>284</v>
      </c>
      <c r="L16" s="269">
        <v>1.10736699390163</v>
      </c>
      <c r="M16" s="269">
        <v>2.7403127904653499</v>
      </c>
    </row>
    <row r="17" spans="2:13">
      <c r="B17" s="165"/>
      <c r="C17" s="165"/>
      <c r="D17" s="165"/>
      <c r="E17" s="165"/>
      <c r="F17" s="165"/>
      <c r="G17" s="165"/>
      <c r="H17" s="165"/>
      <c r="I17" s="165"/>
      <c r="J17" s="268">
        <v>1</v>
      </c>
      <c r="K17" s="268" t="s">
        <v>900</v>
      </c>
      <c r="L17" s="269">
        <v>1.0701179240311001</v>
      </c>
      <c r="M17" s="269">
        <v>2.9656441717794899</v>
      </c>
    </row>
    <row r="18" spans="2:13">
      <c r="B18" s="165"/>
      <c r="C18" s="165"/>
      <c r="D18" s="165"/>
      <c r="E18" s="165"/>
      <c r="F18" s="165"/>
      <c r="G18" s="165"/>
      <c r="H18" s="165"/>
      <c r="I18" s="165"/>
      <c r="J18" s="268">
        <v>1</v>
      </c>
      <c r="K18" s="268" t="s">
        <v>901</v>
      </c>
      <c r="L18" s="269">
        <v>1.1423227742801101</v>
      </c>
      <c r="M18" s="269">
        <v>4.1741396709423704</v>
      </c>
    </row>
    <row r="19" spans="2:13">
      <c r="B19" s="165"/>
      <c r="C19" s="165"/>
      <c r="D19" s="165"/>
      <c r="E19" s="165"/>
      <c r="F19" s="165"/>
      <c r="G19" s="165"/>
      <c r="H19" s="165"/>
      <c r="I19" s="165"/>
      <c r="J19" s="268">
        <v>1</v>
      </c>
      <c r="K19" s="268" t="s">
        <v>902</v>
      </c>
      <c r="L19" s="269">
        <v>1.10513946500514</v>
      </c>
      <c r="M19" s="269">
        <v>6.5926190589614304</v>
      </c>
    </row>
    <row r="20" spans="2:13">
      <c r="B20" s="165"/>
      <c r="C20" s="165"/>
      <c r="D20" s="165"/>
      <c r="E20" s="165"/>
      <c r="F20" s="165"/>
      <c r="G20" s="165"/>
      <c r="H20" s="165"/>
      <c r="I20" s="165"/>
      <c r="J20" s="268">
        <v>1</v>
      </c>
      <c r="K20" s="268" t="s">
        <v>903</v>
      </c>
      <c r="L20" s="269">
        <v>1.04544024135485</v>
      </c>
      <c r="M20" s="269">
        <v>2.9463149295920998</v>
      </c>
    </row>
    <row r="21" spans="2:13">
      <c r="B21" s="165"/>
      <c r="C21" s="165"/>
      <c r="D21" s="165"/>
      <c r="E21" s="165"/>
      <c r="F21" s="165"/>
      <c r="G21" s="165"/>
      <c r="H21" s="165"/>
      <c r="I21" s="165"/>
      <c r="J21" s="268">
        <v>1</v>
      </c>
      <c r="K21" s="268" t="s">
        <v>216</v>
      </c>
      <c r="L21" s="269">
        <v>1.05796557144982</v>
      </c>
      <c r="M21" s="269">
        <v>2.3822168037458198</v>
      </c>
    </row>
    <row r="22" spans="2:13">
      <c r="B22" s="165"/>
      <c r="C22" s="165"/>
      <c r="D22" s="165"/>
      <c r="E22" s="165"/>
      <c r="F22" s="165"/>
      <c r="G22" s="165"/>
      <c r="H22" s="165"/>
      <c r="I22" s="165"/>
      <c r="J22" s="268">
        <v>1</v>
      </c>
      <c r="K22" s="268" t="s">
        <v>214</v>
      </c>
      <c r="L22" s="269">
        <v>1.0628143160600501</v>
      </c>
      <c r="M22" s="269">
        <v>4.3486202388963804</v>
      </c>
    </row>
    <row r="23" spans="2:13">
      <c r="B23" s="165"/>
      <c r="C23" s="165"/>
      <c r="D23" s="165"/>
      <c r="E23" s="165"/>
      <c r="F23" s="165"/>
      <c r="G23" s="165"/>
      <c r="H23" s="165"/>
      <c r="I23" s="165"/>
      <c r="J23" s="268">
        <v>1</v>
      </c>
      <c r="K23" s="268" t="s">
        <v>274</v>
      </c>
      <c r="L23" s="269">
        <v>1.07992697178029</v>
      </c>
      <c r="M23" s="269">
        <v>3.1181750338378</v>
      </c>
    </row>
    <row r="24" spans="2:13">
      <c r="B24" s="165"/>
      <c r="C24" s="165"/>
      <c r="D24" s="165"/>
      <c r="E24" s="165"/>
      <c r="F24" s="165"/>
      <c r="G24" s="165"/>
      <c r="H24" s="165"/>
      <c r="I24" s="165"/>
      <c r="J24" s="268">
        <v>1</v>
      </c>
      <c r="K24" s="268" t="s">
        <v>904</v>
      </c>
      <c r="L24" s="269">
        <v>1.2217249301498301</v>
      </c>
      <c r="M24" s="269">
        <v>4.5813240910840403</v>
      </c>
    </row>
    <row r="25" spans="2:13">
      <c r="B25" s="165"/>
      <c r="C25" s="165"/>
      <c r="D25" s="165"/>
      <c r="E25" s="165"/>
      <c r="F25" s="165"/>
      <c r="G25" s="165"/>
      <c r="H25" s="165"/>
      <c r="I25" s="165"/>
      <c r="J25" s="268">
        <v>1</v>
      </c>
      <c r="K25" s="268" t="s">
        <v>905</v>
      </c>
      <c r="L25" s="269">
        <v>1.09045447543623</v>
      </c>
      <c r="M25" s="269">
        <v>3.30502066517144</v>
      </c>
    </row>
    <row r="26" spans="2:13">
      <c r="B26" s="165"/>
      <c r="C26" s="165"/>
      <c r="D26" s="165"/>
      <c r="E26" s="165"/>
      <c r="F26" s="165"/>
      <c r="G26" s="165"/>
      <c r="H26" s="165"/>
      <c r="I26" s="165"/>
      <c r="J26" s="268">
        <v>1</v>
      </c>
      <c r="K26" s="268" t="s">
        <v>210</v>
      </c>
      <c r="L26" s="269">
        <v>1.12256594415116</v>
      </c>
      <c r="M26" s="269">
        <v>3.22015517220595</v>
      </c>
    </row>
    <row r="27" spans="2:13">
      <c r="B27" s="165"/>
      <c r="C27" s="165"/>
      <c r="D27" s="165"/>
      <c r="E27" s="165"/>
      <c r="F27" s="165"/>
      <c r="G27" s="165"/>
      <c r="H27" s="165"/>
      <c r="I27" s="165"/>
      <c r="J27" s="268">
        <v>1</v>
      </c>
      <c r="K27" s="268" t="s">
        <v>906</v>
      </c>
      <c r="L27" s="269">
        <v>1.26638085158381</v>
      </c>
      <c r="M27" s="269">
        <v>7.4244904900319604</v>
      </c>
    </row>
    <row r="28" spans="2:13">
      <c r="B28" s="165"/>
      <c r="C28" s="165"/>
      <c r="D28" s="165"/>
      <c r="E28" s="165"/>
      <c r="F28" s="165"/>
      <c r="G28" s="165"/>
      <c r="H28" s="165"/>
      <c r="I28" s="165"/>
      <c r="J28" s="268">
        <v>1</v>
      </c>
      <c r="K28" s="268" t="s">
        <v>907</v>
      </c>
      <c r="L28" s="269"/>
      <c r="M28" s="269">
        <v>7.1282973436999697</v>
      </c>
    </row>
    <row r="29" spans="2:13">
      <c r="B29" s="165"/>
      <c r="C29" s="165"/>
      <c r="D29" s="165"/>
      <c r="E29" s="165"/>
      <c r="F29" s="165"/>
      <c r="G29" s="165"/>
      <c r="H29" s="165"/>
      <c r="I29" s="165"/>
      <c r="J29" s="268">
        <v>1</v>
      </c>
      <c r="K29" s="268" t="s">
        <v>908</v>
      </c>
      <c r="L29" s="269">
        <v>1.12735058002675</v>
      </c>
      <c r="M29" s="269">
        <v>2.4561549010427099</v>
      </c>
    </row>
    <row r="30" spans="2:13">
      <c r="B30" s="165"/>
      <c r="C30" s="165"/>
      <c r="D30" s="165"/>
      <c r="E30" s="165"/>
      <c r="F30" s="165"/>
      <c r="G30" s="165"/>
      <c r="H30" s="165"/>
      <c r="I30" s="165"/>
      <c r="J30" s="268">
        <v>1</v>
      </c>
      <c r="K30" s="268" t="s">
        <v>909</v>
      </c>
      <c r="L30" s="269">
        <v>0.91673960048810599</v>
      </c>
      <c r="M30" s="269">
        <v>1.0390485162504799</v>
      </c>
    </row>
    <row r="31" spans="2:13">
      <c r="B31" s="165"/>
      <c r="C31" s="165"/>
      <c r="D31" s="165"/>
      <c r="E31" s="165"/>
      <c r="F31" s="165"/>
      <c r="G31" s="165"/>
      <c r="H31" s="165"/>
      <c r="I31" s="165"/>
      <c r="J31" s="268">
        <v>1</v>
      </c>
      <c r="K31" s="268" t="s">
        <v>910</v>
      </c>
      <c r="L31" s="269">
        <v>1.0840008041459901</v>
      </c>
      <c r="M31" s="269">
        <v>4.5100926791677303</v>
      </c>
    </row>
    <row r="32" spans="2:13">
      <c r="J32" s="268">
        <v>1</v>
      </c>
      <c r="K32" s="268" t="s">
        <v>911</v>
      </c>
      <c r="L32" s="269">
        <v>1.1079226598882801</v>
      </c>
      <c r="M32" s="269">
        <v>6.6446764176995297</v>
      </c>
    </row>
    <row r="33" spans="10:13">
      <c r="J33" s="268">
        <v>1</v>
      </c>
      <c r="K33" s="268" t="s">
        <v>912</v>
      </c>
      <c r="L33" s="269">
        <v>1.14863488049886</v>
      </c>
      <c r="M33" s="269">
        <v>5.6285576723305102</v>
      </c>
    </row>
    <row r="34" spans="10:13">
      <c r="J34" s="268">
        <v>1</v>
      </c>
      <c r="K34" s="268" t="s">
        <v>913</v>
      </c>
      <c r="L34" s="269">
        <v>1.0791256400890701</v>
      </c>
      <c r="M34" s="269">
        <v>3.27943322719742</v>
      </c>
    </row>
    <row r="35" spans="10:13">
      <c r="J35" s="268">
        <v>1</v>
      </c>
      <c r="K35" s="268" t="s">
        <v>215</v>
      </c>
      <c r="L35" s="269">
        <v>1.1127225057633701</v>
      </c>
      <c r="M35" s="269">
        <v>3.8662918478801802</v>
      </c>
    </row>
  </sheetData>
  <pageMargins left="0.7" right="0.7" top="0.75" bottom="0.75" header="0.3" footer="0.3"/>
  <pageSetup orientation="portrait" horizontalDpi="90" verticalDpi="9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0B39-971A-416B-825E-5ED0BC7395C0}">
  <sheetPr codeName="Sheet4">
    <pageSetUpPr fitToPage="1"/>
  </sheetPr>
  <dimension ref="B1:W83"/>
  <sheetViews>
    <sheetView showGridLines="0" zoomScaleNormal="100" workbookViewId="0">
      <pane xSplit="3" ySplit="4" topLeftCell="D29"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18.140625" style="451" hidden="1" customWidth="1" outlineLevel="1"/>
    <col min="4" max="4" width="8.7109375" style="452" customWidth="1" collapsed="1"/>
    <col min="5" max="14" width="8.7109375" style="452" customWidth="1"/>
    <col min="15" max="18" width="8.140625" style="452" customWidth="1"/>
    <col min="19" max="19" width="9.140625" style="451"/>
    <col min="20" max="20" width="0" style="451" hidden="1" customWidth="1"/>
    <col min="21" max="16384" width="9.140625" style="451"/>
  </cols>
  <sheetData>
    <row r="1" spans="2:23" ht="15">
      <c r="T1" s="102"/>
      <c r="U1" s="102"/>
      <c r="V1" s="102"/>
      <c r="W1" s="102"/>
    </row>
    <row r="2" spans="2:23" ht="14.45" customHeight="1">
      <c r="B2" s="612" t="str">
        <f>"Table A1. Advanced Economies: General Government Overall Balance, "&amp;$D$4&amp;"–"&amp;RIGHT($R$4,2)</f>
        <v>Table A1. Advanced Economies: General Government Overall Balance, 2014–28</v>
      </c>
      <c r="C2" s="612"/>
      <c r="D2" s="612"/>
      <c r="E2" s="612"/>
      <c r="F2" s="612"/>
      <c r="G2" s="612"/>
      <c r="H2" s="612"/>
      <c r="I2" s="612"/>
      <c r="J2" s="612"/>
      <c r="K2" s="612"/>
      <c r="L2" s="612"/>
      <c r="M2" s="612"/>
      <c r="N2" s="612"/>
      <c r="O2" s="453"/>
      <c r="P2" s="453"/>
      <c r="Q2" s="453"/>
      <c r="R2" s="453"/>
      <c r="T2" s="102"/>
      <c r="U2" s="102"/>
      <c r="V2" s="102"/>
      <c r="W2" s="102"/>
    </row>
    <row r="3" spans="2:23" ht="15.75">
      <c r="B3" s="454" t="s">
        <v>81</v>
      </c>
      <c r="C3" s="455"/>
      <c r="D3" s="455"/>
      <c r="E3" s="455"/>
      <c r="F3" s="455"/>
      <c r="G3" s="455"/>
      <c r="H3" s="455"/>
      <c r="I3" s="455"/>
      <c r="J3" s="455"/>
      <c r="K3" s="455"/>
      <c r="L3" s="455"/>
      <c r="M3" s="455"/>
      <c r="N3" s="455"/>
      <c r="O3" s="455"/>
      <c r="P3" s="455"/>
      <c r="Q3" s="456"/>
      <c r="R3" s="456"/>
      <c r="T3" s="102"/>
      <c r="U3" s="102"/>
      <c r="V3" s="102"/>
      <c r="W3" s="102"/>
    </row>
    <row r="4" spans="2:23"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c r="T4" s="102"/>
      <c r="U4" s="102"/>
      <c r="V4" s="102"/>
      <c r="W4" s="102"/>
    </row>
    <row r="5" spans="2:23" ht="14.1" customHeight="1">
      <c r="B5" s="459" t="s">
        <v>196</v>
      </c>
      <c r="C5" s="460" t="s">
        <v>84</v>
      </c>
      <c r="D5" s="461">
        <v>-3.0785202554606297</v>
      </c>
      <c r="E5" s="461">
        <v>-2.5771546599156232</v>
      </c>
      <c r="F5" s="461">
        <v>-2.6543446846424743</v>
      </c>
      <c r="G5" s="461">
        <v>-2.4329473663816326</v>
      </c>
      <c r="H5" s="461">
        <v>-2.4158998660791453</v>
      </c>
      <c r="I5" s="461">
        <v>-2.9693445669189988</v>
      </c>
      <c r="J5" s="461">
        <v>-10.238298315177325</v>
      </c>
      <c r="K5" s="461">
        <v>-7.5128995786831156</v>
      </c>
      <c r="L5" s="461">
        <v>-4.2745771866945592</v>
      </c>
      <c r="M5" s="461">
        <v>-4.3965304994632222</v>
      </c>
      <c r="N5" s="461">
        <v>-4.1579694745720097</v>
      </c>
      <c r="O5" s="461">
        <v>-4.0671867416893441</v>
      </c>
      <c r="P5" s="461">
        <v>-3.9071025310368737</v>
      </c>
      <c r="Q5" s="461">
        <v>-3.7752048559908737</v>
      </c>
      <c r="R5" s="461">
        <v>-3.8837366320816678</v>
      </c>
      <c r="T5" s="102"/>
      <c r="U5" s="102"/>
      <c r="V5" s="102"/>
      <c r="W5" s="102"/>
    </row>
    <row r="6" spans="2:23" ht="14.1" customHeight="1">
      <c r="B6" s="462" t="s">
        <v>88</v>
      </c>
      <c r="C6" s="460" t="s">
        <v>88</v>
      </c>
      <c r="D6" s="461">
        <v>-2.4942518247605308</v>
      </c>
      <c r="E6" s="461">
        <v>-1.9443003506797107</v>
      </c>
      <c r="F6" s="461">
        <v>-1.4675383272080569</v>
      </c>
      <c r="G6" s="461">
        <v>-0.92393352095207959</v>
      </c>
      <c r="H6" s="461">
        <v>-0.42895019555208935</v>
      </c>
      <c r="I6" s="461">
        <v>-0.64635394670815394</v>
      </c>
      <c r="J6" s="461">
        <v>-7.0809970858781117</v>
      </c>
      <c r="K6" s="461">
        <v>-5.3631885543992297</v>
      </c>
      <c r="L6" s="461">
        <v>-3.8190110355845532</v>
      </c>
      <c r="M6" s="461">
        <v>-3.7138891759040309</v>
      </c>
      <c r="N6" s="461">
        <v>-2.8231885094362394</v>
      </c>
      <c r="O6" s="461">
        <v>-2.3276636784797571</v>
      </c>
      <c r="P6" s="461">
        <v>-2.1149638745230508</v>
      </c>
      <c r="Q6" s="461">
        <v>-1.9624608083689847</v>
      </c>
      <c r="R6" s="461">
        <v>-1.9080688382526512</v>
      </c>
      <c r="T6" s="102"/>
      <c r="U6" s="102"/>
      <c r="V6" s="102"/>
      <c r="W6" s="102"/>
    </row>
    <row r="7" spans="2:23" ht="14.1" customHeight="1">
      <c r="B7" s="462" t="s">
        <v>914</v>
      </c>
      <c r="C7" s="462" t="s">
        <v>915</v>
      </c>
      <c r="D7" s="461">
        <v>-3.6025493724030206</v>
      </c>
      <c r="E7" s="461">
        <v>-3.0014471742522604</v>
      </c>
      <c r="F7" s="461">
        <v>-3.3274317643770219</v>
      </c>
      <c r="G7" s="461">
        <v>-3.3206943208004494</v>
      </c>
      <c r="H7" s="461">
        <v>-3.3438482767968285</v>
      </c>
      <c r="I7" s="461">
        <v>-3.7805732567601353</v>
      </c>
      <c r="J7" s="461">
        <v>-11.643298719088371</v>
      </c>
      <c r="K7" s="461">
        <v>-9.1300619958129943</v>
      </c>
      <c r="L7" s="461">
        <v>-5.3554576528970026</v>
      </c>
      <c r="M7" s="461">
        <v>-5.5642342795461834</v>
      </c>
      <c r="N7" s="461">
        <v>-5.3380871911176628</v>
      </c>
      <c r="O7" s="461">
        <v>-5.2094674016538907</v>
      </c>
      <c r="P7" s="461">
        <v>-4.9997599145623006</v>
      </c>
      <c r="Q7" s="461">
        <v>-4.8155047998884415</v>
      </c>
      <c r="R7" s="461">
        <v>-4.9505722586158729</v>
      </c>
      <c r="T7" s="102"/>
      <c r="U7" s="102"/>
      <c r="V7" s="102"/>
      <c r="W7" s="102"/>
    </row>
    <row r="8" spans="2:23" ht="14.1" customHeight="1">
      <c r="B8" s="462" t="s">
        <v>916</v>
      </c>
      <c r="C8" s="463" t="s">
        <v>86</v>
      </c>
      <c r="D8" s="461">
        <v>-3.4178230761903237</v>
      </c>
      <c r="E8" s="461">
        <v>-2.8566140741238568</v>
      </c>
      <c r="F8" s="461">
        <v>-3.1041519611856843</v>
      </c>
      <c r="G8" s="461">
        <v>-3.0417725581318598</v>
      </c>
      <c r="H8" s="461">
        <v>-3.0322549634976705</v>
      </c>
      <c r="I8" s="461">
        <v>-3.6405408682695732</v>
      </c>
      <c r="J8" s="461">
        <v>-11.179431834948172</v>
      </c>
      <c r="K8" s="461">
        <v>-8.6711141576645172</v>
      </c>
      <c r="L8" s="461">
        <v>-5.1248119270283379</v>
      </c>
      <c r="M8" s="461">
        <v>-5.284633721090886</v>
      </c>
      <c r="N8" s="461">
        <v>-5.0724965973595753</v>
      </c>
      <c r="O8" s="461">
        <v>-4.9389212065391783</v>
      </c>
      <c r="P8" s="461">
        <v>-4.7336578187086236</v>
      </c>
      <c r="Q8" s="461">
        <v>-4.55786730265174</v>
      </c>
      <c r="R8" s="461">
        <v>-4.6751607771720645</v>
      </c>
      <c r="T8" s="102"/>
      <c r="U8" s="102"/>
      <c r="V8" s="102"/>
      <c r="W8" s="102"/>
    </row>
    <row r="9" spans="2:23" ht="14.25" customHeight="1">
      <c r="B9" s="464" t="s">
        <v>917</v>
      </c>
      <c r="C9" s="464" t="s">
        <v>917</v>
      </c>
      <c r="D9" s="465">
        <v>2.1428890221668162</v>
      </c>
      <c r="E9" s="465">
        <v>2.0031974746570924</v>
      </c>
      <c r="F9" s="465">
        <v>4.3552409089519504</v>
      </c>
      <c r="G9" s="465">
        <v>3.3331103198331173</v>
      </c>
      <c r="H9" s="465">
        <v>2.6689934219361744</v>
      </c>
      <c r="I9" s="465">
        <v>2.2795305830926553</v>
      </c>
      <c r="J9" s="465">
        <v>-2.959938834711529</v>
      </c>
      <c r="K9" s="465">
        <v>-2.3012666458290449</v>
      </c>
      <c r="L9" s="465">
        <v>1.1714852818609183</v>
      </c>
      <c r="M9" s="465">
        <v>1.3523258749526375</v>
      </c>
      <c r="N9" s="465">
        <v>2.4836854119018601</v>
      </c>
      <c r="O9" s="465">
        <v>2.7233612439149555</v>
      </c>
      <c r="P9" s="465">
        <v>2.9910446728116105</v>
      </c>
      <c r="Q9" s="465">
        <v>3.2684952630454762</v>
      </c>
      <c r="R9" s="465">
        <v>3.4616205423352615</v>
      </c>
      <c r="T9" s="102"/>
      <c r="U9" s="102"/>
      <c r="V9" s="102"/>
      <c r="W9" s="102"/>
    </row>
    <row r="10" spans="2:23" ht="16.5" customHeight="1">
      <c r="B10" s="464" t="s">
        <v>279</v>
      </c>
      <c r="C10" s="464" t="s">
        <v>279</v>
      </c>
      <c r="D10" s="465">
        <v>-2.9186074471434273</v>
      </c>
      <c r="E10" s="465">
        <v>-2.7883129438705878</v>
      </c>
      <c r="F10" s="465">
        <v>-2.4226465748424375</v>
      </c>
      <c r="G10" s="465">
        <v>-1.7184943625171212</v>
      </c>
      <c r="H10" s="465">
        <v>-1.2599329802662944</v>
      </c>
      <c r="I10" s="465">
        <v>-4.4075137979539765</v>
      </c>
      <c r="J10" s="465">
        <v>-8.7380074324996304</v>
      </c>
      <c r="K10" s="465">
        <v>-6.2613147751371709</v>
      </c>
      <c r="L10" s="465">
        <v>-3.3018651358411324</v>
      </c>
      <c r="M10" s="465">
        <v>-3.0527205865236633</v>
      </c>
      <c r="N10" s="465">
        <v>-2.7913029008009573</v>
      </c>
      <c r="O10" s="465">
        <v>-2.4786653785567636</v>
      </c>
      <c r="P10" s="465">
        <v>-2.1985373744171239</v>
      </c>
      <c r="Q10" s="465">
        <v>-2.0992203639068756</v>
      </c>
      <c r="R10" s="465">
        <v>-1.8676970957909707</v>
      </c>
      <c r="T10" s="102"/>
      <c r="U10" s="102"/>
      <c r="V10" s="102"/>
      <c r="W10" s="102"/>
    </row>
    <row r="11" spans="2:23" ht="13.5" customHeight="1">
      <c r="B11" s="464" t="s">
        <v>439</v>
      </c>
      <c r="C11" s="464" t="s">
        <v>439</v>
      </c>
      <c r="D11" s="465">
        <v>-2.7291419590383921</v>
      </c>
      <c r="E11" s="465">
        <v>-1.0462419971806955</v>
      </c>
      <c r="F11" s="465">
        <v>-1.5345912848694667</v>
      </c>
      <c r="G11" s="465">
        <v>-0.81611870051586255</v>
      </c>
      <c r="H11" s="465">
        <v>0.17014769293991461</v>
      </c>
      <c r="I11" s="465">
        <v>0.61043475938994451</v>
      </c>
      <c r="J11" s="465">
        <v>-8.0088462957659594</v>
      </c>
      <c r="K11" s="465">
        <v>-5.9355320115809791</v>
      </c>
      <c r="L11" s="465">
        <v>-3.3059739834053281</v>
      </c>
      <c r="M11" s="465">
        <v>-2.690921942799803</v>
      </c>
      <c r="N11" s="465">
        <v>-1.494494675673725</v>
      </c>
      <c r="O11" s="465">
        <v>-1.0529223942522969</v>
      </c>
      <c r="P11" s="465">
        <v>-1.0630331581790964</v>
      </c>
      <c r="Q11" s="465">
        <v>-1.2038467501241157</v>
      </c>
      <c r="R11" s="465">
        <v>-1.1911788146965741</v>
      </c>
      <c r="T11" s="102"/>
      <c r="U11" s="102"/>
      <c r="V11" s="102"/>
      <c r="W11" s="102"/>
    </row>
    <row r="12" spans="2:23" ht="13.5" customHeight="1">
      <c r="B12" s="464" t="s">
        <v>444</v>
      </c>
      <c r="C12" s="464" t="s">
        <v>444</v>
      </c>
      <c r="D12" s="465">
        <v>-3.0555527984833897</v>
      </c>
      <c r="E12" s="465">
        <v>-2.4136433230462058</v>
      </c>
      <c r="F12" s="465">
        <v>-2.3631375193275748</v>
      </c>
      <c r="G12" s="465">
        <v>-0.68385574654533199</v>
      </c>
      <c r="H12" s="465">
        <v>-0.86988181745067394</v>
      </c>
      <c r="I12" s="465">
        <v>-1.943277376761483</v>
      </c>
      <c r="J12" s="465">
        <v>-8.9726766211566993</v>
      </c>
      <c r="K12" s="465">
        <v>-5.5605679338737675</v>
      </c>
      <c r="L12" s="465">
        <v>-4.320546989132696</v>
      </c>
      <c r="M12" s="465">
        <v>-5.1976365924673775</v>
      </c>
      <c r="N12" s="465">
        <v>-5.4940298329348156</v>
      </c>
      <c r="O12" s="465">
        <v>-5.4940522791261035</v>
      </c>
      <c r="P12" s="465">
        <v>-5.5845814390653423</v>
      </c>
      <c r="Q12" s="465">
        <v>-5.6849529982232996</v>
      </c>
      <c r="R12" s="465">
        <v>-5.7016308096705517</v>
      </c>
      <c r="T12" s="102"/>
      <c r="U12" s="102"/>
      <c r="V12" s="102"/>
      <c r="W12" s="102"/>
    </row>
    <row r="13" spans="2:23" ht="13.5" customHeight="1">
      <c r="B13" s="464" t="s">
        <v>87</v>
      </c>
      <c r="C13" s="464" t="s">
        <v>87</v>
      </c>
      <c r="D13" s="465">
        <v>0.17489616010442638</v>
      </c>
      <c r="E13" s="465">
        <v>-6.1845591002194993E-2</v>
      </c>
      <c r="F13" s="465">
        <v>-0.45316422574776544</v>
      </c>
      <c r="G13" s="465">
        <v>-0.11244295517090443</v>
      </c>
      <c r="H13" s="465">
        <v>0.35989130799422991</v>
      </c>
      <c r="I13" s="465">
        <v>-1.7289349803786477E-2</v>
      </c>
      <c r="J13" s="465">
        <v>-10.910398378770509</v>
      </c>
      <c r="K13" s="465">
        <v>-4.3813839397071588</v>
      </c>
      <c r="L13" s="465">
        <v>-0.69997009104458374</v>
      </c>
      <c r="M13" s="465">
        <v>-0.39957557452967601</v>
      </c>
      <c r="N13" s="465">
        <v>-0.36882482118123799</v>
      </c>
      <c r="O13" s="465">
        <v>-0.31352871207973981</v>
      </c>
      <c r="P13" s="465">
        <v>-0.15133102074878402</v>
      </c>
      <c r="Q13" s="465">
        <v>-7.6792170332084478E-2</v>
      </c>
      <c r="R13" s="465">
        <v>2.0570411912170589E-2</v>
      </c>
      <c r="T13" s="102"/>
      <c r="U13" s="102"/>
      <c r="V13" s="102"/>
      <c r="W13" s="102"/>
    </row>
    <row r="14" spans="2:23" ht="13.5" customHeight="1">
      <c r="B14" s="464" t="s">
        <v>430</v>
      </c>
      <c r="C14" s="464" t="s">
        <v>430</v>
      </c>
      <c r="D14" s="465">
        <v>-5.167702420747986</v>
      </c>
      <c r="E14" s="465">
        <v>-3.4960202921367971</v>
      </c>
      <c r="F14" s="465">
        <v>-1.0363186917664957</v>
      </c>
      <c r="G14" s="465">
        <v>0.6276505513146734</v>
      </c>
      <c r="H14" s="465">
        <v>-5.2761303242701993E-2</v>
      </c>
      <c r="I14" s="465">
        <v>0.21703020899881353</v>
      </c>
      <c r="J14" s="465">
        <v>-7.309666805415155</v>
      </c>
      <c r="K14" s="465">
        <v>-2.5862424409015943</v>
      </c>
      <c r="L14" s="465">
        <v>-0.94334169173280003</v>
      </c>
      <c r="M14" s="465">
        <v>-2.2573631873754185</v>
      </c>
      <c r="N14" s="465">
        <v>-1.7024326384437116</v>
      </c>
      <c r="O14" s="465">
        <v>-1.2552383983677025</v>
      </c>
      <c r="P14" s="465">
        <v>-1.0673375173031814</v>
      </c>
      <c r="Q14" s="465">
        <v>-1.0619745157306353</v>
      </c>
      <c r="R14" s="465">
        <v>-1.0658917800019598</v>
      </c>
      <c r="T14" s="102"/>
      <c r="U14" s="102"/>
      <c r="V14" s="102"/>
      <c r="W14" s="102"/>
    </row>
    <row r="15" spans="2:23" ht="13.5" customHeight="1">
      <c r="B15" s="464" t="s">
        <v>918</v>
      </c>
      <c r="C15" s="464" t="s">
        <v>421</v>
      </c>
      <c r="D15" s="465">
        <v>-0.23337222870478411</v>
      </c>
      <c r="E15" s="465">
        <v>0.18557838596960527</v>
      </c>
      <c r="F15" s="465">
        <v>0.24350990869693273</v>
      </c>
      <c r="G15" s="465">
        <v>1.9515269073418569</v>
      </c>
      <c r="H15" s="465">
        <v>-3.5732245756651642</v>
      </c>
      <c r="I15" s="465">
        <v>1.2862388408748668</v>
      </c>
      <c r="J15" s="465">
        <v>-5.8036081297099793</v>
      </c>
      <c r="K15" s="465">
        <v>-1.6995020567222341</v>
      </c>
      <c r="L15" s="465">
        <v>2.2586508809145665</v>
      </c>
      <c r="M15" s="465">
        <v>1.8842244522255611</v>
      </c>
      <c r="N15" s="465">
        <v>1.6747571213445076</v>
      </c>
      <c r="O15" s="465">
        <v>1.4838990463275743</v>
      </c>
      <c r="P15" s="465">
        <v>1.2933753941435473</v>
      </c>
      <c r="Q15" s="465">
        <v>1.0323826967451626</v>
      </c>
      <c r="R15" s="465">
        <v>0.97098626933920085</v>
      </c>
      <c r="T15" s="102"/>
      <c r="U15" s="102"/>
      <c r="V15" s="102"/>
      <c r="W15" s="102"/>
    </row>
    <row r="16" spans="2:23" ht="13.5" customHeight="1">
      <c r="B16" s="464" t="s">
        <v>919</v>
      </c>
      <c r="C16" s="464" t="s">
        <v>919</v>
      </c>
      <c r="D16" s="465">
        <v>-2.0754914093395733</v>
      </c>
      <c r="E16" s="465">
        <v>-0.64381765122764023</v>
      </c>
      <c r="F16" s="465">
        <v>0.71177619253209334</v>
      </c>
      <c r="G16" s="465">
        <v>1.5014059599553333</v>
      </c>
      <c r="H16" s="465">
        <v>0.89251770684382481</v>
      </c>
      <c r="I16" s="465">
        <v>0.28850912147427143</v>
      </c>
      <c r="J16" s="465">
        <v>-5.7664817990688944</v>
      </c>
      <c r="K16" s="465">
        <v>-5.0996305770917196</v>
      </c>
      <c r="L16" s="465">
        <v>-3.5931220744688908</v>
      </c>
      <c r="M16" s="465">
        <v>-4.2148631960365304</v>
      </c>
      <c r="N16" s="465">
        <v>-2.825533198178567</v>
      </c>
      <c r="O16" s="465">
        <v>-2.5277714394212074</v>
      </c>
      <c r="P16" s="465">
        <v>-2.5140290016553424</v>
      </c>
      <c r="Q16" s="465">
        <v>-2.4913046317126559</v>
      </c>
      <c r="R16" s="465">
        <v>-2.5016945383156122</v>
      </c>
      <c r="T16" s="102"/>
      <c r="U16" s="102"/>
      <c r="V16" s="102"/>
      <c r="W16" s="102"/>
    </row>
    <row r="17" spans="2:23" ht="13.5" customHeight="1">
      <c r="B17" s="464" t="s">
        <v>451</v>
      </c>
      <c r="C17" s="464" t="s">
        <v>451</v>
      </c>
      <c r="D17" s="465">
        <v>1.1444276473690986</v>
      </c>
      <c r="E17" s="465">
        <v>-1.3295808787854384</v>
      </c>
      <c r="F17" s="465">
        <v>-0.10598683277279868</v>
      </c>
      <c r="G17" s="465">
        <v>1.7862614913176711</v>
      </c>
      <c r="H17" s="465">
        <v>0.76043518105546715</v>
      </c>
      <c r="I17" s="465">
        <v>4.1315819650317724</v>
      </c>
      <c r="J17" s="465">
        <v>0.21489552136045989</v>
      </c>
      <c r="K17" s="465">
        <v>3.6340482322136172</v>
      </c>
      <c r="L17" s="465">
        <v>2.4780291664731831</v>
      </c>
      <c r="M17" s="465">
        <v>1.4393968267833439</v>
      </c>
      <c r="N17" s="465">
        <v>0.45565225867890413</v>
      </c>
      <c r="O17" s="465">
        <v>-1.2702595566272713E-2</v>
      </c>
      <c r="P17" s="465">
        <v>-0.13614411269733331</v>
      </c>
      <c r="Q17" s="465">
        <v>-0.14647162408951886</v>
      </c>
      <c r="R17" s="465">
        <v>-0.20225553838038812</v>
      </c>
      <c r="T17" s="102"/>
      <c r="U17" s="102"/>
      <c r="V17" s="102"/>
      <c r="W17" s="102"/>
    </row>
    <row r="18" spans="2:23" ht="13.5" customHeight="1">
      <c r="B18" s="464" t="s">
        <v>423</v>
      </c>
      <c r="C18" s="464" t="s">
        <v>423</v>
      </c>
      <c r="D18" s="465">
        <v>0.70740758660490222</v>
      </c>
      <c r="E18" s="465">
        <v>0.14381677028718887</v>
      </c>
      <c r="F18" s="465">
        <v>-0.41213344736733204</v>
      </c>
      <c r="G18" s="465">
        <v>-0.73767097164804529</v>
      </c>
      <c r="H18" s="465">
        <v>-0.55311614878353799</v>
      </c>
      <c r="I18" s="465">
        <v>0.12207711006013745</v>
      </c>
      <c r="J18" s="465">
        <v>-5.4675636756334791</v>
      </c>
      <c r="K18" s="465">
        <v>-2.294003069494214</v>
      </c>
      <c r="L18" s="465">
        <v>-1.1537087326034401</v>
      </c>
      <c r="M18" s="465">
        <v>-4.765993678520748</v>
      </c>
      <c r="N18" s="465">
        <v>-3.5236636803480015</v>
      </c>
      <c r="O18" s="465">
        <v>-2.8005021264709353</v>
      </c>
      <c r="P18" s="465">
        <v>-2.0796144333174071</v>
      </c>
      <c r="Q18" s="465">
        <v>-1.5854682742973785</v>
      </c>
      <c r="R18" s="465">
        <v>-1.399977250365853</v>
      </c>
      <c r="T18" s="102"/>
      <c r="U18" s="102"/>
      <c r="V18" s="102"/>
      <c r="W18" s="102"/>
    </row>
    <row r="19" spans="2:23" ht="13.5" customHeight="1">
      <c r="B19" s="464" t="s">
        <v>481</v>
      </c>
      <c r="C19" s="464" t="s">
        <v>481</v>
      </c>
      <c r="D19" s="465">
        <v>-2.9874768604668023</v>
      </c>
      <c r="E19" s="465">
        <v>-2.4254322681363387</v>
      </c>
      <c r="F19" s="465">
        <v>-1.6982502597486187</v>
      </c>
      <c r="G19" s="465">
        <v>-0.65399622626501874</v>
      </c>
      <c r="H19" s="465">
        <v>-0.85452878841096191</v>
      </c>
      <c r="I19" s="465">
        <v>-0.94847784939422497</v>
      </c>
      <c r="J19" s="465">
        <v>-5.5268486544165221</v>
      </c>
      <c r="K19" s="465">
        <v>-2.7370966583397847</v>
      </c>
      <c r="L19" s="465">
        <v>-1.8639119786346094</v>
      </c>
      <c r="M19" s="465">
        <v>-2.4686322316966711</v>
      </c>
      <c r="N19" s="465">
        <v>-2.4391718964371276</v>
      </c>
      <c r="O19" s="465">
        <v>-2.9973442083937591</v>
      </c>
      <c r="P19" s="465">
        <v>-2.8873860556806852</v>
      </c>
      <c r="Q19" s="465">
        <v>-2.7444164241338229</v>
      </c>
      <c r="R19" s="465">
        <v>-2.7166778864898626</v>
      </c>
      <c r="T19" s="102"/>
      <c r="U19" s="102"/>
      <c r="V19" s="102"/>
      <c r="W19" s="102"/>
    </row>
    <row r="20" spans="2:23" ht="13.5" customHeight="1">
      <c r="B20" s="464" t="s">
        <v>90</v>
      </c>
      <c r="C20" s="464" t="s">
        <v>90</v>
      </c>
      <c r="D20" s="465">
        <v>-3.9046593464867088</v>
      </c>
      <c r="E20" s="465">
        <v>-3.6251746699465799</v>
      </c>
      <c r="F20" s="465">
        <v>-3.6372563983547948</v>
      </c>
      <c r="G20" s="465">
        <v>-2.9584170931926197</v>
      </c>
      <c r="H20" s="465">
        <v>-2.2889545408000487</v>
      </c>
      <c r="I20" s="465">
        <v>-3.0646507783158676</v>
      </c>
      <c r="J20" s="465">
        <v>-8.992844691796984</v>
      </c>
      <c r="K20" s="465">
        <v>-6.5310748300299784</v>
      </c>
      <c r="L20" s="465">
        <v>-4.8516006615397815</v>
      </c>
      <c r="M20" s="465">
        <v>-5.3174230119219361</v>
      </c>
      <c r="N20" s="465">
        <v>-4.8111676839827799</v>
      </c>
      <c r="O20" s="465">
        <v>-4.4514269616139366</v>
      </c>
      <c r="P20" s="465">
        <v>-4.0906532278171976</v>
      </c>
      <c r="Q20" s="465">
        <v>-3.89014138499296</v>
      </c>
      <c r="R20" s="465">
        <v>-4.0242152992653777</v>
      </c>
      <c r="T20" s="102"/>
      <c r="U20" s="102"/>
      <c r="V20" s="102"/>
      <c r="W20" s="102"/>
    </row>
    <row r="21" spans="2:23" ht="13.5" customHeight="1">
      <c r="B21" s="464" t="s">
        <v>91</v>
      </c>
      <c r="C21" s="464" t="s">
        <v>91</v>
      </c>
      <c r="D21" s="465">
        <v>0.57955271347222648</v>
      </c>
      <c r="E21" s="465">
        <v>0.96055092558935684</v>
      </c>
      <c r="F21" s="465">
        <v>1.1603514167044158</v>
      </c>
      <c r="G21" s="465">
        <v>1.3360839383440051</v>
      </c>
      <c r="H21" s="465">
        <v>1.9499026876049268</v>
      </c>
      <c r="I21" s="465">
        <v>1.5309248371846622</v>
      </c>
      <c r="J21" s="465">
        <v>-4.3329036274420556</v>
      </c>
      <c r="K21" s="465">
        <v>-3.7274102866662036</v>
      </c>
      <c r="L21" s="465">
        <v>-2.6202143752990006</v>
      </c>
      <c r="M21" s="465">
        <v>-3.6982931018888268</v>
      </c>
      <c r="N21" s="465">
        <v>-1.9074459218906274</v>
      </c>
      <c r="O21" s="465">
        <v>-0.85029784751576953</v>
      </c>
      <c r="P21" s="465">
        <v>-0.66245782322487023</v>
      </c>
      <c r="Q21" s="465">
        <v>-0.50563995948682572</v>
      </c>
      <c r="R21" s="465">
        <v>-0.48587494815033716</v>
      </c>
      <c r="T21" s="102"/>
      <c r="U21" s="102"/>
      <c r="V21" s="102"/>
      <c r="W21" s="102"/>
    </row>
    <row r="22" spans="2:23" ht="13.5" customHeight="1">
      <c r="B22" s="464" t="s">
        <v>425</v>
      </c>
      <c r="C22" s="464" t="s">
        <v>425</v>
      </c>
      <c r="D22" s="465">
        <v>-4.2061432214674221</v>
      </c>
      <c r="E22" s="465">
        <v>-2.9965583520913537</v>
      </c>
      <c r="F22" s="465">
        <v>0.25368063165344451</v>
      </c>
      <c r="G22" s="465">
        <v>0.90473984404447505</v>
      </c>
      <c r="H22" s="465">
        <v>0.80920928056672503</v>
      </c>
      <c r="I22" s="465">
        <v>0.22852343319643745</v>
      </c>
      <c r="J22" s="465">
        <v>-10.71914391947039</v>
      </c>
      <c r="K22" s="465">
        <v>-7.9746800605476817</v>
      </c>
      <c r="L22" s="465">
        <v>-3.999306668010715</v>
      </c>
      <c r="M22" s="465">
        <v>-2.3958091781501425</v>
      </c>
      <c r="N22" s="465">
        <v>-1.2567146562326512</v>
      </c>
      <c r="O22" s="465">
        <v>-1.0666891501468694</v>
      </c>
      <c r="P22" s="465">
        <v>-0.85976043896697352</v>
      </c>
      <c r="Q22" s="465">
        <v>-0.80906236991881686</v>
      </c>
      <c r="R22" s="465">
        <v>-0.70745423324194279</v>
      </c>
      <c r="T22" s="102"/>
      <c r="U22" s="102"/>
      <c r="V22" s="102"/>
      <c r="W22" s="102"/>
    </row>
    <row r="23" spans="2:23" ht="13.5" customHeight="1">
      <c r="B23" s="464" t="s">
        <v>920</v>
      </c>
      <c r="C23" s="464" t="s">
        <v>920</v>
      </c>
      <c r="D23" s="465">
        <v>3.592042630016143</v>
      </c>
      <c r="E23" s="465">
        <v>0.59505355615841049</v>
      </c>
      <c r="F23" s="465">
        <v>4.3874708423992361</v>
      </c>
      <c r="G23" s="465">
        <v>5.4927506260579717</v>
      </c>
      <c r="H23" s="465">
        <v>2.3499719368667233</v>
      </c>
      <c r="I23" s="465">
        <v>-0.58262418223926171</v>
      </c>
      <c r="J23" s="465">
        <v>-9.2295245869318769</v>
      </c>
      <c r="K23" s="465">
        <v>8.1132922111165975E-3</v>
      </c>
      <c r="L23" s="465">
        <v>-7.1382260650576903</v>
      </c>
      <c r="M23" s="465">
        <v>-3.8894700162670901</v>
      </c>
      <c r="N23" s="465">
        <v>-1.0048004462120941</v>
      </c>
      <c r="O23" s="465">
        <v>0.18027642768257834</v>
      </c>
      <c r="P23" s="465">
        <v>0.58292492067068535</v>
      </c>
      <c r="Q23" s="465">
        <v>0.58292492067078161</v>
      </c>
      <c r="R23" s="465">
        <v>0.58292492067080026</v>
      </c>
      <c r="T23" s="102"/>
      <c r="U23" s="102"/>
      <c r="V23" s="102"/>
      <c r="W23" s="102"/>
    </row>
    <row r="24" spans="2:23" ht="13.5" customHeight="1">
      <c r="B24" s="464" t="s">
        <v>921</v>
      </c>
      <c r="C24" s="464" t="s">
        <v>921</v>
      </c>
      <c r="D24" s="465">
        <v>0.2950114074272896</v>
      </c>
      <c r="E24" s="465">
        <v>-0.39539597584955821</v>
      </c>
      <c r="F24" s="465">
        <v>12.549322148869294</v>
      </c>
      <c r="G24" s="465">
        <v>0.95489748326904389</v>
      </c>
      <c r="H24" s="465">
        <v>0.91214800271162033</v>
      </c>
      <c r="I24" s="465">
        <v>-1.5237460932449143</v>
      </c>
      <c r="J24" s="465">
        <v>-8.9837619121851606</v>
      </c>
      <c r="K24" s="465">
        <v>-8.3875594355575096</v>
      </c>
      <c r="L24" s="465">
        <v>-4.2947725370750343</v>
      </c>
      <c r="M24" s="465">
        <v>-2.7981905739368744</v>
      </c>
      <c r="N24" s="465">
        <v>-1.8262316561104694</v>
      </c>
      <c r="O24" s="465">
        <v>-0.10618796205893108</v>
      </c>
      <c r="P24" s="465">
        <v>0.59849266103495724</v>
      </c>
      <c r="Q24" s="465">
        <v>0.75165507385236707</v>
      </c>
      <c r="R24" s="465">
        <v>0.26251374831080254</v>
      </c>
      <c r="T24" s="102"/>
      <c r="U24" s="102"/>
      <c r="V24" s="102"/>
      <c r="W24" s="102"/>
    </row>
    <row r="25" spans="2:23" ht="13.5" customHeight="1">
      <c r="B25" s="464" t="s">
        <v>922</v>
      </c>
      <c r="C25" s="464" t="s">
        <v>429</v>
      </c>
      <c r="D25" s="465">
        <v>-3.6124253530512336</v>
      </c>
      <c r="E25" s="465">
        <v>-2.0372961791190072</v>
      </c>
      <c r="F25" s="465">
        <v>-0.76171513585930739</v>
      </c>
      <c r="G25" s="465">
        <v>-0.28479025265059799</v>
      </c>
      <c r="H25" s="465">
        <v>0.13657613637407348</v>
      </c>
      <c r="I25" s="465">
        <v>0.4749863332445578</v>
      </c>
      <c r="J25" s="465">
        <v>-5.0323734832473255</v>
      </c>
      <c r="K25" s="465">
        <v>-1.6607042739213151</v>
      </c>
      <c r="L25" s="465">
        <v>1.2012015601655843</v>
      </c>
      <c r="M25" s="465">
        <v>1.2816227059609626</v>
      </c>
      <c r="N25" s="465">
        <v>1.1947523976051273</v>
      </c>
      <c r="O25" s="465">
        <v>1.0218999232255073</v>
      </c>
      <c r="P25" s="465">
        <v>1.100464914619212</v>
      </c>
      <c r="Q25" s="465">
        <v>1.144267189116065</v>
      </c>
      <c r="R25" s="465">
        <v>1.0973404016028179</v>
      </c>
      <c r="T25" s="102"/>
      <c r="U25" s="102"/>
      <c r="V25" s="102"/>
      <c r="W25" s="102"/>
    </row>
    <row r="26" spans="2:23" ht="13.5" customHeight="1">
      <c r="B26" s="464" t="s">
        <v>923</v>
      </c>
      <c r="C26" s="464" t="s">
        <v>923</v>
      </c>
      <c r="D26" s="465">
        <v>-2.2855189529622542</v>
      </c>
      <c r="E26" s="465">
        <v>-1.1609248082442343</v>
      </c>
      <c r="F26" s="465">
        <v>-1.6939853662198519</v>
      </c>
      <c r="G26" s="465">
        <v>-1.1765515524290726</v>
      </c>
      <c r="H26" s="465">
        <v>-3.5883423388244151</v>
      </c>
      <c r="I26" s="465">
        <v>-3.8752474343530734</v>
      </c>
      <c r="J26" s="465">
        <v>-10.757291661033648</v>
      </c>
      <c r="K26" s="465">
        <v>-3.6758705925643098</v>
      </c>
      <c r="L26" s="465">
        <v>0.13437172148152368</v>
      </c>
      <c r="M26" s="465">
        <v>-1.2367923490784876</v>
      </c>
      <c r="N26" s="465">
        <v>-1.3686154836383151</v>
      </c>
      <c r="O26" s="465">
        <v>-2.5371815867903056</v>
      </c>
      <c r="P26" s="465">
        <v>-2.8346803681643458</v>
      </c>
      <c r="Q26" s="465">
        <v>-2.7970599839660433</v>
      </c>
      <c r="R26" s="465">
        <v>-2.7415622786696101</v>
      </c>
      <c r="T26" s="102"/>
      <c r="U26" s="102"/>
      <c r="V26" s="102"/>
      <c r="W26" s="102"/>
    </row>
    <row r="27" spans="2:23" ht="13.5" customHeight="1">
      <c r="B27" s="464" t="s">
        <v>92</v>
      </c>
      <c r="C27" s="464" t="s">
        <v>92</v>
      </c>
      <c r="D27" s="465">
        <v>-2.9543949082158969</v>
      </c>
      <c r="E27" s="465">
        <v>-2.5522017935729795</v>
      </c>
      <c r="F27" s="465">
        <v>-2.4038986028316058</v>
      </c>
      <c r="G27" s="465">
        <v>-2.4191045339927086</v>
      </c>
      <c r="H27" s="465">
        <v>-2.1651346314845226</v>
      </c>
      <c r="I27" s="465">
        <v>-1.5074182588910015</v>
      </c>
      <c r="J27" s="465">
        <v>-9.6556934895425695</v>
      </c>
      <c r="K27" s="465">
        <v>-9.0178533470270903</v>
      </c>
      <c r="L27" s="465">
        <v>-8.0374385918781783</v>
      </c>
      <c r="M27" s="465">
        <v>-3.7452551397495406</v>
      </c>
      <c r="N27" s="465">
        <v>-3.3382289430065373</v>
      </c>
      <c r="O27" s="465">
        <v>-2.3499908349749674</v>
      </c>
      <c r="P27" s="465">
        <v>-1.8100190037194719</v>
      </c>
      <c r="Q27" s="465">
        <v>-1.2542191543820016</v>
      </c>
      <c r="R27" s="465">
        <v>-0.7354983637633099</v>
      </c>
      <c r="T27" s="102"/>
      <c r="U27" s="102"/>
      <c r="V27" s="102"/>
      <c r="W27" s="102"/>
    </row>
    <row r="28" spans="2:23" ht="13.5" customHeight="1">
      <c r="B28" s="464" t="s">
        <v>96</v>
      </c>
      <c r="C28" s="464" t="s">
        <v>96</v>
      </c>
      <c r="D28" s="465">
        <v>-5.6160517768413207</v>
      </c>
      <c r="E28" s="465">
        <v>-3.6777896647116419</v>
      </c>
      <c r="F28" s="465">
        <v>-3.599609526409322</v>
      </c>
      <c r="G28" s="465">
        <v>-3.098813357368738</v>
      </c>
      <c r="H28" s="465">
        <v>-2.4714078523601222</v>
      </c>
      <c r="I28" s="465">
        <v>-3.0446438669687224</v>
      </c>
      <c r="J28" s="465">
        <v>-9.0640688696199323</v>
      </c>
      <c r="K28" s="465">
        <v>-6.1581497519109298</v>
      </c>
      <c r="L28" s="465">
        <v>-7.8203607789039884</v>
      </c>
      <c r="M28" s="465">
        <v>-6.3825047202028635</v>
      </c>
      <c r="N28" s="465">
        <v>-3.9886382539652052</v>
      </c>
      <c r="O28" s="465">
        <v>-2.9046889488883831</v>
      </c>
      <c r="P28" s="465">
        <v>-3.1162271307014868</v>
      </c>
      <c r="Q28" s="465">
        <v>-3.3628632182380338</v>
      </c>
      <c r="R28" s="465">
        <v>-3.7365275282822332</v>
      </c>
      <c r="T28" s="102"/>
      <c r="U28" s="102"/>
      <c r="V28" s="102"/>
      <c r="W28" s="102"/>
    </row>
    <row r="29" spans="2:23" ht="13.5" customHeight="1">
      <c r="B29" s="464" t="s">
        <v>283</v>
      </c>
      <c r="C29" s="464" t="s">
        <v>283</v>
      </c>
      <c r="D29" s="465">
        <v>0.60066708084628284</v>
      </c>
      <c r="E29" s="465">
        <v>0.52164617516165657</v>
      </c>
      <c r="F29" s="465">
        <v>1.6459292147035731</v>
      </c>
      <c r="G29" s="465">
        <v>2.1881047767002224</v>
      </c>
      <c r="H29" s="465">
        <v>2.5630171860862374</v>
      </c>
      <c r="I29" s="465">
        <v>0.37178524624160447</v>
      </c>
      <c r="J29" s="465">
        <v>-2.2330816165618828</v>
      </c>
      <c r="K29" s="465">
        <v>-1.9983993496996127E-2</v>
      </c>
      <c r="L29" s="465">
        <v>-0.92412058281744824</v>
      </c>
      <c r="M29" s="465">
        <v>-4.228414121505799E-2</v>
      </c>
      <c r="N29" s="465">
        <v>-0.22343271857031907</v>
      </c>
      <c r="O29" s="465">
        <v>-0.14419852106214176</v>
      </c>
      <c r="P29" s="465">
        <v>-0.12877947090460998</v>
      </c>
      <c r="Q29" s="465">
        <v>-0.13096505494389457</v>
      </c>
      <c r="R29" s="465">
        <v>-0.13628420273026551</v>
      </c>
      <c r="T29" s="102"/>
      <c r="U29" s="102"/>
      <c r="V29" s="102"/>
      <c r="W29" s="102"/>
    </row>
    <row r="30" spans="2:23" ht="13.5" customHeight="1">
      <c r="B30" s="464" t="s">
        <v>442</v>
      </c>
      <c r="C30" s="464" t="s">
        <v>442</v>
      </c>
      <c r="D30" s="465">
        <v>-1.6816461720805549</v>
      </c>
      <c r="E30" s="465">
        <v>-1.5200177698454824</v>
      </c>
      <c r="F30" s="465">
        <v>-0.39514243579855701</v>
      </c>
      <c r="G30" s="465">
        <v>-0.82148298514582774</v>
      </c>
      <c r="H30" s="465">
        <v>-0.73790218302749999</v>
      </c>
      <c r="I30" s="465">
        <v>-0.38059855143789356</v>
      </c>
      <c r="J30" s="465">
        <v>-3.7116300442319679</v>
      </c>
      <c r="K30" s="465">
        <v>-5.4341594071564776</v>
      </c>
      <c r="L30" s="465">
        <v>-3.6207420546359406</v>
      </c>
      <c r="M30" s="465">
        <v>-4.6759830675974028</v>
      </c>
      <c r="N30" s="465">
        <v>-2.030285013890079</v>
      </c>
      <c r="O30" s="465">
        <v>-3.0692268619999732</v>
      </c>
      <c r="P30" s="465">
        <v>-1.2728622962325191</v>
      </c>
      <c r="Q30" s="465">
        <v>-0.51654248649177392</v>
      </c>
      <c r="R30" s="465">
        <v>-0.40671194118196774</v>
      </c>
      <c r="T30" s="102"/>
      <c r="U30" s="102"/>
      <c r="V30" s="102"/>
      <c r="W30" s="102"/>
    </row>
    <row r="31" spans="2:23" ht="13.5" customHeight="1">
      <c r="B31" s="464" t="s">
        <v>433</v>
      </c>
      <c r="C31" s="464" t="s">
        <v>433</v>
      </c>
      <c r="D31" s="465">
        <v>-0.66427382296419202</v>
      </c>
      <c r="E31" s="465">
        <v>-0.20778831297846873</v>
      </c>
      <c r="F31" s="465">
        <v>0.25919326097521461</v>
      </c>
      <c r="G31" s="465">
        <v>0.45415516495057517</v>
      </c>
      <c r="H31" s="465">
        <v>0.59716314549864657</v>
      </c>
      <c r="I31" s="465">
        <v>0.26437284545331868</v>
      </c>
      <c r="J31" s="465">
        <v>-7.2299299771948684</v>
      </c>
      <c r="K31" s="465">
        <v>-0.98720162338240269</v>
      </c>
      <c r="L31" s="465">
        <v>-0.83975419356526848</v>
      </c>
      <c r="M31" s="465">
        <v>-4.4591554183205639</v>
      </c>
      <c r="N31" s="465">
        <v>-2.8442606087410236</v>
      </c>
      <c r="O31" s="465">
        <v>-2.0124408849959186</v>
      </c>
      <c r="P31" s="465">
        <v>-1.4547435414472776</v>
      </c>
      <c r="Q31" s="465">
        <v>-1.0974935788225069</v>
      </c>
      <c r="R31" s="465">
        <v>-1.0412530988325071</v>
      </c>
      <c r="T31" s="102"/>
      <c r="U31" s="102"/>
      <c r="V31" s="102"/>
      <c r="W31" s="102"/>
    </row>
    <row r="32" spans="2:23" ht="13.5" customHeight="1">
      <c r="B32" s="464" t="s">
        <v>440</v>
      </c>
      <c r="C32" s="464" t="s">
        <v>440</v>
      </c>
      <c r="D32" s="465">
        <v>1.3315016228594379</v>
      </c>
      <c r="E32" s="465">
        <v>1.3034202399598098</v>
      </c>
      <c r="F32" s="465">
        <v>1.88994805009963</v>
      </c>
      <c r="G32" s="465">
        <v>1.3668513017287618</v>
      </c>
      <c r="H32" s="465">
        <v>2.9768500961391324</v>
      </c>
      <c r="I32" s="465">
        <v>2.230553903327845</v>
      </c>
      <c r="J32" s="465">
        <v>-3.4278668558170695</v>
      </c>
      <c r="K32" s="465">
        <v>0.79436890518016467</v>
      </c>
      <c r="L32" s="465">
        <v>-0.24232195381811228</v>
      </c>
      <c r="M32" s="465">
        <v>-2.9872506845967477</v>
      </c>
      <c r="N32" s="465">
        <v>-1.8051106522405034</v>
      </c>
      <c r="O32" s="465">
        <v>-1.016238088263091</v>
      </c>
      <c r="P32" s="465">
        <v>-0.52120456488795619</v>
      </c>
      <c r="Q32" s="465">
        <v>-0.45618113617511297</v>
      </c>
      <c r="R32" s="465">
        <v>-0.5032150521172577</v>
      </c>
      <c r="T32" s="102"/>
      <c r="U32" s="102"/>
      <c r="V32" s="102"/>
      <c r="W32" s="102"/>
    </row>
    <row r="33" spans="2:23" ht="13.5" customHeight="1">
      <c r="B33" s="464" t="s">
        <v>437</v>
      </c>
      <c r="C33" s="464" t="s">
        <v>437</v>
      </c>
      <c r="D33" s="465">
        <v>-1.6980716602238599</v>
      </c>
      <c r="E33" s="465">
        <v>-1.0423429308242411</v>
      </c>
      <c r="F33" s="465">
        <v>1.1137325884416567</v>
      </c>
      <c r="G33" s="465">
        <v>3.2898823676463231</v>
      </c>
      <c r="H33" s="465">
        <v>2.0735016981716439</v>
      </c>
      <c r="I33" s="465">
        <v>0.5794301452551015</v>
      </c>
      <c r="J33" s="465">
        <v>-9.2978138826351397</v>
      </c>
      <c r="K33" s="465">
        <v>-7.5330357714212575</v>
      </c>
      <c r="L33" s="465">
        <v>-5.270455504511947</v>
      </c>
      <c r="M33" s="465">
        <v>-4.8135358796428038</v>
      </c>
      <c r="N33" s="465">
        <v>-3.7333214586362526</v>
      </c>
      <c r="O33" s="465">
        <v>-2.5828075618893163</v>
      </c>
      <c r="P33" s="465">
        <v>-2.1144847147168311</v>
      </c>
      <c r="Q33" s="465">
        <v>-2.1848995322057738</v>
      </c>
      <c r="R33" s="465">
        <v>-2.1495393731083343</v>
      </c>
      <c r="T33" s="102"/>
      <c r="U33" s="102"/>
      <c r="V33" s="102"/>
      <c r="W33" s="102"/>
    </row>
    <row r="34" spans="2:23" ht="13.5" customHeight="1">
      <c r="B34" s="464" t="s">
        <v>441</v>
      </c>
      <c r="C34" s="464" t="s">
        <v>448</v>
      </c>
      <c r="D34" s="465">
        <v>-2.2538566918815892</v>
      </c>
      <c r="E34" s="465">
        <v>-1.943600653905462</v>
      </c>
      <c r="F34" s="465">
        <v>0.12691699007675725</v>
      </c>
      <c r="G34" s="465">
        <v>1.3711379591571315</v>
      </c>
      <c r="H34" s="465">
        <v>1.502350814677766</v>
      </c>
      <c r="I34" s="465">
        <v>1.799140279562883</v>
      </c>
      <c r="J34" s="465">
        <v>-3.7146121301143711</v>
      </c>
      <c r="K34" s="465">
        <v>-2.6073268593902537</v>
      </c>
      <c r="L34" s="465">
        <v>-1.0410370057677509</v>
      </c>
      <c r="M34" s="465">
        <v>-1.8935718942973172</v>
      </c>
      <c r="N34" s="465">
        <v>-1.4982385089642756</v>
      </c>
      <c r="O34" s="465">
        <v>-1.5343937576943065</v>
      </c>
      <c r="P34" s="465">
        <v>-1.500510567716157</v>
      </c>
      <c r="Q34" s="465">
        <v>-1.7287687915072625</v>
      </c>
      <c r="R34" s="465">
        <v>-1.7789939091864722</v>
      </c>
      <c r="T34" s="102"/>
      <c r="U34" s="102"/>
      <c r="V34" s="102"/>
      <c r="W34" s="102"/>
    </row>
    <row r="35" spans="2:23" ht="13.5" customHeight="1">
      <c r="B35" s="464" t="s">
        <v>924</v>
      </c>
      <c r="C35" s="464" t="s">
        <v>924</v>
      </c>
      <c r="D35" s="465">
        <v>-0.33912798034136948</v>
      </c>
      <c r="E35" s="465">
        <v>0.36242970969857136</v>
      </c>
      <c r="F35" s="465">
        <v>0.97534548562944745</v>
      </c>
      <c r="G35" s="465">
        <v>1.3554663900907602</v>
      </c>
      <c r="H35" s="465">
        <v>1.2679003530485145</v>
      </c>
      <c r="I35" s="465">
        <v>-2.5088888402447909</v>
      </c>
      <c r="J35" s="465">
        <v>-4.3628251775946136</v>
      </c>
      <c r="K35" s="465">
        <v>-3.4422465039347316</v>
      </c>
      <c r="L35" s="465">
        <v>-4.1804366999441376</v>
      </c>
      <c r="M35" s="465">
        <v>-3.827710957483959</v>
      </c>
      <c r="N35" s="465">
        <v>-3.0648718985133785</v>
      </c>
      <c r="O35" s="465">
        <v>-1.4782998309445001</v>
      </c>
      <c r="P35" s="465">
        <v>-9.2618414702702861E-3</v>
      </c>
      <c r="Q35" s="465">
        <v>0.2599596669770976</v>
      </c>
      <c r="R35" s="465">
        <v>-2.6026331098866012E-3</v>
      </c>
      <c r="T35" s="102"/>
      <c r="U35" s="102"/>
      <c r="V35" s="102"/>
      <c r="W35" s="102"/>
    </row>
    <row r="36" spans="2:23" ht="13.5" customHeight="1">
      <c r="B36" s="464" t="s">
        <v>431</v>
      </c>
      <c r="C36" s="464" t="s">
        <v>431</v>
      </c>
      <c r="D36" s="465">
        <v>8.5719834131249613</v>
      </c>
      <c r="E36" s="465">
        <v>5.9874774094677532</v>
      </c>
      <c r="F36" s="465">
        <v>4.0324001495490265</v>
      </c>
      <c r="G36" s="465">
        <v>4.9538338113504157</v>
      </c>
      <c r="H36" s="465">
        <v>7.8137193034353194</v>
      </c>
      <c r="I36" s="465">
        <v>6.5224958131031521</v>
      </c>
      <c r="J36" s="465">
        <v>-2.5758794768277449</v>
      </c>
      <c r="K36" s="465">
        <v>9.3584680265764604</v>
      </c>
      <c r="L36" s="465">
        <v>22.413253174487341</v>
      </c>
      <c r="M36" s="465">
        <v>25.284481489537214</v>
      </c>
      <c r="N36" s="465">
        <v>23.738187001777533</v>
      </c>
      <c r="O36" s="465">
        <v>21.690492322995354</v>
      </c>
      <c r="P36" s="465">
        <v>20.253473482435997</v>
      </c>
      <c r="Q36" s="465">
        <v>18.877711785230353</v>
      </c>
      <c r="R36" s="465">
        <v>17.528629206572536</v>
      </c>
      <c r="T36" s="102"/>
      <c r="U36" s="102"/>
      <c r="V36" s="102"/>
      <c r="W36" s="102"/>
    </row>
    <row r="37" spans="2:23" ht="13.5" customHeight="1">
      <c r="B37" s="464" t="s">
        <v>443</v>
      </c>
      <c r="C37" s="464" t="s">
        <v>443</v>
      </c>
      <c r="D37" s="465">
        <v>-7.3089480317381259</v>
      </c>
      <c r="E37" s="465">
        <v>-4.4016566395790626</v>
      </c>
      <c r="F37" s="465">
        <v>-1.9350232559635967</v>
      </c>
      <c r="G37" s="465">
        <v>-2.9560167004257782</v>
      </c>
      <c r="H37" s="465">
        <v>-0.34898447346335632</v>
      </c>
      <c r="I37" s="465">
        <v>0.1153293742218648</v>
      </c>
      <c r="J37" s="465">
        <v>-5.8273818577700158</v>
      </c>
      <c r="K37" s="465">
        <v>-2.7834150053250171</v>
      </c>
      <c r="L37" s="465">
        <v>-1.9464739252873338</v>
      </c>
      <c r="M37" s="465">
        <v>-1.2407482924156943</v>
      </c>
      <c r="N37" s="465">
        <v>-1.2090961804689331</v>
      </c>
      <c r="O37" s="465">
        <v>-1.145240031415935</v>
      </c>
      <c r="P37" s="465">
        <v>-1.1138751089520549</v>
      </c>
      <c r="Q37" s="465">
        <v>-1.0200166241814874</v>
      </c>
      <c r="R37" s="465">
        <v>-0.87730468843637921</v>
      </c>
      <c r="T37" s="102"/>
      <c r="U37" s="102"/>
      <c r="V37" s="102"/>
      <c r="W37" s="102"/>
    </row>
    <row r="38" spans="2:23" ht="13.5" customHeight="1">
      <c r="B38" s="464" t="s">
        <v>925</v>
      </c>
      <c r="C38" s="464" t="s">
        <v>925</v>
      </c>
      <c r="D38" s="465">
        <v>4.5996076342099856</v>
      </c>
      <c r="E38" s="465">
        <v>2.861575357412955</v>
      </c>
      <c r="F38" s="465">
        <v>3.2599187805958567</v>
      </c>
      <c r="G38" s="465">
        <v>5.2495143999781586</v>
      </c>
      <c r="H38" s="465">
        <v>3.6802159546739341</v>
      </c>
      <c r="I38" s="465">
        <v>3.7658961267516493</v>
      </c>
      <c r="J38" s="465">
        <v>-6.7724868659758357</v>
      </c>
      <c r="K38" s="465">
        <v>1.1727920008487664</v>
      </c>
      <c r="L38" s="465">
        <v>0.44105192017815686</v>
      </c>
      <c r="M38" s="465">
        <v>3.0979362630281901</v>
      </c>
      <c r="N38" s="465">
        <v>2.0812096650833394</v>
      </c>
      <c r="O38" s="465">
        <v>2.3963203750422131</v>
      </c>
      <c r="P38" s="465">
        <v>2.66435892969072</v>
      </c>
      <c r="Q38" s="465">
        <v>2.7810214270700411</v>
      </c>
      <c r="R38" s="465">
        <v>2.9152919314369399</v>
      </c>
      <c r="T38" s="102"/>
      <c r="U38" s="102"/>
      <c r="V38" s="102"/>
      <c r="W38" s="102"/>
    </row>
    <row r="39" spans="2:23" ht="13.5" customHeight="1">
      <c r="B39" s="464" t="s">
        <v>449</v>
      </c>
      <c r="C39" s="464" t="s">
        <v>449</v>
      </c>
      <c r="D39" s="465">
        <v>-3.1040737612059539</v>
      </c>
      <c r="E39" s="465">
        <v>-2.6650525422459626</v>
      </c>
      <c r="F39" s="465">
        <v>-2.5744138627775022</v>
      </c>
      <c r="G39" s="465">
        <v>-0.97968699620526301</v>
      </c>
      <c r="H39" s="465">
        <v>-1.0108517747486223</v>
      </c>
      <c r="I39" s="465">
        <v>-1.2190085707569247</v>
      </c>
      <c r="J39" s="465">
        <v>-5.3592781358622981</v>
      </c>
      <c r="K39" s="465">
        <v>-5.4620748454675558</v>
      </c>
      <c r="L39" s="465">
        <v>-3.5453980041773034</v>
      </c>
      <c r="M39" s="465">
        <v>-5.0779310612232198</v>
      </c>
      <c r="N39" s="465">
        <v>-4.0802750355274684</v>
      </c>
      <c r="O39" s="465">
        <v>-4.4377843386470994</v>
      </c>
      <c r="P39" s="465">
        <v>-4.0202588340318552</v>
      </c>
      <c r="Q39" s="465">
        <v>-3.9292304213226785</v>
      </c>
      <c r="R39" s="465">
        <v>-3.831397114842912</v>
      </c>
      <c r="T39" s="102"/>
      <c r="U39" s="102"/>
      <c r="V39" s="102"/>
      <c r="W39" s="102"/>
    </row>
    <row r="40" spans="2:23" ht="13.5" customHeight="1">
      <c r="B40" s="464" t="s">
        <v>432</v>
      </c>
      <c r="C40" s="464" t="s">
        <v>432</v>
      </c>
      <c r="D40" s="465">
        <v>-5.5072248114746696</v>
      </c>
      <c r="E40" s="465">
        <v>-2.8474358149411234</v>
      </c>
      <c r="F40" s="465">
        <v>-1.9192396230753825</v>
      </c>
      <c r="G40" s="465">
        <v>-5.3009325456333571E-2</v>
      </c>
      <c r="H40" s="465">
        <v>0.74352116452285821</v>
      </c>
      <c r="I40" s="465">
        <v>0.57218563787263155</v>
      </c>
      <c r="J40" s="465">
        <v>-7.7234069250351434</v>
      </c>
      <c r="K40" s="465">
        <v>-4.6728381228200222</v>
      </c>
      <c r="L40" s="465">
        <v>-3.2546523219828947</v>
      </c>
      <c r="M40" s="465">
        <v>-3.9640142820029727</v>
      </c>
      <c r="N40" s="465">
        <v>-2.4562432923445017</v>
      </c>
      <c r="O40" s="465">
        <v>-2.1184500358023364</v>
      </c>
      <c r="P40" s="465">
        <v>-1.4659056707736073</v>
      </c>
      <c r="Q40" s="465">
        <v>-1.4292450112360839</v>
      </c>
      <c r="R40" s="465">
        <v>-1.4154281207165005</v>
      </c>
      <c r="T40" s="102"/>
      <c r="U40" s="102"/>
      <c r="V40" s="102"/>
      <c r="W40" s="102"/>
    </row>
    <row r="41" spans="2:23" ht="13.5" customHeight="1">
      <c r="B41" s="464" t="s">
        <v>93</v>
      </c>
      <c r="C41" s="464" t="s">
        <v>94</v>
      </c>
      <c r="D41" s="465">
        <v>-6.1104504323034492</v>
      </c>
      <c r="E41" s="465">
        <v>-5.3089161221862327</v>
      </c>
      <c r="F41" s="465">
        <v>-4.2975718310870228</v>
      </c>
      <c r="G41" s="465">
        <v>-3.1164085430265329</v>
      </c>
      <c r="H41" s="465">
        <v>-2.5936592242114731</v>
      </c>
      <c r="I41" s="465">
        <v>-3.0602651277024004</v>
      </c>
      <c r="J41" s="465">
        <v>-10.125233790314574</v>
      </c>
      <c r="K41" s="465">
        <v>-6.8729792300897721</v>
      </c>
      <c r="L41" s="465">
        <v>-4.4669378006868756</v>
      </c>
      <c r="M41" s="465">
        <v>-4.4845279353360992</v>
      </c>
      <c r="N41" s="465">
        <v>-3.5065653623878617</v>
      </c>
      <c r="O41" s="465">
        <v>-3.8005118862163392</v>
      </c>
      <c r="P41" s="465">
        <v>-4.0274354359841107</v>
      </c>
      <c r="Q41" s="465">
        <v>-4.0274354359841613</v>
      </c>
      <c r="R41" s="465">
        <v>-4.0274354359841276</v>
      </c>
      <c r="T41" s="102"/>
      <c r="U41" s="102"/>
      <c r="V41" s="102"/>
      <c r="W41" s="102"/>
    </row>
    <row r="42" spans="2:23" ht="13.5" customHeight="1">
      <c r="B42" s="464" t="s">
        <v>422</v>
      </c>
      <c r="C42" s="464" t="s">
        <v>422</v>
      </c>
      <c r="D42" s="465">
        <v>-1.5343637060357198</v>
      </c>
      <c r="E42" s="465">
        <v>3.0747781348067229E-3</v>
      </c>
      <c r="F42" s="465">
        <v>0.99881518385714607</v>
      </c>
      <c r="G42" s="465">
        <v>1.4085551558519676</v>
      </c>
      <c r="H42" s="465">
        <v>0.78275900491808093</v>
      </c>
      <c r="I42" s="465">
        <v>0.56394353712626633</v>
      </c>
      <c r="J42" s="465">
        <v>-2.7712205405615675</v>
      </c>
      <c r="K42" s="465">
        <v>-6.3657534547531688E-2</v>
      </c>
      <c r="L42" s="465">
        <v>0.66986203199633421</v>
      </c>
      <c r="M42" s="465">
        <v>3.5200909657242672E-2</v>
      </c>
      <c r="N42" s="465">
        <v>-0.2890277490087238</v>
      </c>
      <c r="O42" s="465">
        <v>1.3697077520576304E-2</v>
      </c>
      <c r="P42" s="465">
        <v>0.27358826935380209</v>
      </c>
      <c r="Q42" s="465">
        <v>0.31831880503640686</v>
      </c>
      <c r="R42" s="465">
        <v>0.2980309941990863</v>
      </c>
      <c r="T42" s="102"/>
      <c r="U42" s="102"/>
      <c r="V42" s="102"/>
      <c r="W42" s="102"/>
    </row>
    <row r="43" spans="2:23" ht="13.5" customHeight="1">
      <c r="B43" s="464" t="s">
        <v>926</v>
      </c>
      <c r="C43" s="464" t="s">
        <v>926</v>
      </c>
      <c r="D43" s="465">
        <v>-0.24705905599467082</v>
      </c>
      <c r="E43" s="465">
        <v>0.5456583601846493</v>
      </c>
      <c r="F43" s="465">
        <v>0.23833243766125273</v>
      </c>
      <c r="G43" s="465">
        <v>1.1303183100462681</v>
      </c>
      <c r="H43" s="465">
        <v>1.2901180022546896</v>
      </c>
      <c r="I43" s="465">
        <v>1.3411633120581499</v>
      </c>
      <c r="J43" s="465">
        <v>-3.0234500785125444</v>
      </c>
      <c r="K43" s="465">
        <v>-0.54063625993635989</v>
      </c>
      <c r="L43" s="465">
        <v>0.20550578434403458</v>
      </c>
      <c r="M43" s="465">
        <v>0.35506801529764381</v>
      </c>
      <c r="N43" s="465">
        <v>0.18048062840994097</v>
      </c>
      <c r="O43" s="465">
        <v>0.14942005380292625</v>
      </c>
      <c r="P43" s="465">
        <v>7.8358967154876571E-2</v>
      </c>
      <c r="Q43" s="465">
        <v>7.8358967154907228E-2</v>
      </c>
      <c r="R43" s="465">
        <v>7.8358967154786088E-2</v>
      </c>
      <c r="T43" s="102"/>
      <c r="U43" s="102"/>
      <c r="V43" s="102"/>
      <c r="W43" s="102"/>
    </row>
    <row r="44" spans="2:23" ht="13.5" customHeight="1">
      <c r="B44" s="464" t="s">
        <v>97</v>
      </c>
      <c r="C44" s="464" t="s">
        <v>97</v>
      </c>
      <c r="D44" s="465">
        <v>-5.5366386680029871</v>
      </c>
      <c r="E44" s="465">
        <v>-4.5407647483235269</v>
      </c>
      <c r="F44" s="465">
        <v>-3.3315978656247855</v>
      </c>
      <c r="G44" s="465">
        <v>-2.366465740179414</v>
      </c>
      <c r="H44" s="465">
        <v>-2.1762205607649912</v>
      </c>
      <c r="I44" s="465">
        <v>-2.2261507147235373</v>
      </c>
      <c r="J44" s="465">
        <v>-13.007384359265336</v>
      </c>
      <c r="K44" s="465">
        <v>-8.2560215941356141</v>
      </c>
      <c r="L44" s="465">
        <v>-6.2603416459790715</v>
      </c>
      <c r="M44" s="465">
        <v>-5.8015256856201729</v>
      </c>
      <c r="N44" s="465">
        <v>-4.3731644080256524</v>
      </c>
      <c r="O44" s="465">
        <v>-4.2318124224484679</v>
      </c>
      <c r="P44" s="465">
        <v>-3.9461345162322936</v>
      </c>
      <c r="Q44" s="465">
        <v>-3.8589484318086642</v>
      </c>
      <c r="R44" s="465">
        <v>-3.6968199452705428</v>
      </c>
      <c r="T44" s="102"/>
      <c r="U44" s="102"/>
      <c r="V44" s="102"/>
      <c r="W44" s="102"/>
    </row>
    <row r="45" spans="2:23" ht="13.5" customHeight="1">
      <c r="B45" s="466" t="s">
        <v>98</v>
      </c>
      <c r="C45" s="466" t="s">
        <v>99</v>
      </c>
      <c r="D45" s="467">
        <v>-4.0490807333621071</v>
      </c>
      <c r="E45" s="467">
        <v>-3.5319461551876365</v>
      </c>
      <c r="F45" s="467">
        <v>-4.3733438173639083</v>
      </c>
      <c r="G45" s="467">
        <v>-4.8012537639874004</v>
      </c>
      <c r="H45" s="467">
        <v>-5.3218526694126425</v>
      </c>
      <c r="I45" s="467">
        <v>-5.74275230988333</v>
      </c>
      <c r="J45" s="467">
        <v>-14.003366499766148</v>
      </c>
      <c r="K45" s="467">
        <v>-11.620477309208741</v>
      </c>
      <c r="L45" s="467">
        <v>-5.5086894375080151</v>
      </c>
      <c r="M45" s="467">
        <v>-6.2770647786726848</v>
      </c>
      <c r="N45" s="467">
        <v>-6.8330833988867665</v>
      </c>
      <c r="O45" s="467">
        <v>-7.1104032915081188</v>
      </c>
      <c r="P45" s="467">
        <v>-6.8784143796275119</v>
      </c>
      <c r="Q45" s="467">
        <v>-6.6164765541168098</v>
      </c>
      <c r="R45" s="467">
        <v>-6.8286145981659496</v>
      </c>
      <c r="T45" s="102"/>
      <c r="U45" s="102"/>
      <c r="V45" s="102"/>
      <c r="W45" s="102"/>
    </row>
    <row r="46" spans="2:23" ht="6" customHeight="1">
      <c r="B46" s="464"/>
      <c r="C46" s="464"/>
      <c r="D46" s="465"/>
      <c r="E46" s="465"/>
      <c r="F46" s="465"/>
      <c r="G46" s="465"/>
      <c r="H46" s="465"/>
      <c r="I46" s="465"/>
      <c r="J46" s="465"/>
      <c r="K46" s="465"/>
      <c r="L46" s="465"/>
      <c r="M46" s="465"/>
      <c r="N46" s="465"/>
      <c r="O46" s="465"/>
      <c r="P46" s="465"/>
      <c r="Q46" s="465"/>
      <c r="R46" s="465"/>
      <c r="T46" s="102"/>
      <c r="U46" s="102"/>
      <c r="V46" s="102"/>
      <c r="W46" s="102"/>
    </row>
    <row r="47" spans="2:23" ht="14.25" customHeight="1">
      <c r="B47" s="613" t="s">
        <v>927</v>
      </c>
      <c r="C47" s="613"/>
      <c r="D47" s="613"/>
      <c r="E47" s="613"/>
      <c r="F47" s="613"/>
      <c r="G47" s="613"/>
      <c r="H47" s="613"/>
      <c r="I47" s="613"/>
      <c r="J47" s="613"/>
      <c r="K47" s="613"/>
      <c r="L47" s="613"/>
      <c r="M47" s="613"/>
      <c r="N47" s="613"/>
      <c r="O47" s="613"/>
      <c r="P47" s="613"/>
      <c r="Q47" s="613"/>
      <c r="R47" s="613"/>
      <c r="T47" s="102"/>
      <c r="U47" s="102"/>
      <c r="V47" s="102"/>
      <c r="W47" s="102"/>
    </row>
    <row r="48" spans="2:23" ht="15">
      <c r="B48" s="613" t="s">
        <v>928</v>
      </c>
      <c r="C48" s="613"/>
      <c r="D48" s="613"/>
      <c r="E48" s="613"/>
      <c r="F48" s="613"/>
      <c r="G48" s="613"/>
      <c r="H48" s="613"/>
      <c r="I48" s="613"/>
      <c r="J48" s="613"/>
      <c r="K48" s="613"/>
      <c r="L48" s="613"/>
      <c r="M48" s="613"/>
      <c r="N48" s="613"/>
      <c r="O48" s="613"/>
      <c r="P48" s="613"/>
      <c r="Q48" s="468"/>
      <c r="R48" s="468"/>
      <c r="T48" s="102"/>
      <c r="U48" s="102"/>
      <c r="V48" s="102"/>
      <c r="W48" s="102"/>
    </row>
    <row r="49" spans="2:23" ht="15">
      <c r="B49" s="614" t="s">
        <v>929</v>
      </c>
      <c r="C49" s="614"/>
      <c r="D49" s="614"/>
      <c r="E49" s="614"/>
      <c r="F49" s="614"/>
      <c r="G49" s="614"/>
      <c r="H49" s="614"/>
      <c r="I49" s="614"/>
      <c r="J49" s="614"/>
      <c r="K49" s="614"/>
      <c r="L49" s="614"/>
      <c r="M49" s="614"/>
      <c r="N49" s="614"/>
      <c r="O49" s="614"/>
      <c r="P49" s="614"/>
      <c r="Q49" s="614"/>
      <c r="R49" s="614"/>
      <c r="T49" s="102"/>
      <c r="U49" s="102"/>
      <c r="V49" s="102"/>
      <c r="W49" s="102"/>
    </row>
    <row r="50" spans="2:23" ht="52.5" customHeight="1">
      <c r="B50" s="614" t="s">
        <v>930</v>
      </c>
      <c r="C50" s="614"/>
      <c r="D50" s="614"/>
      <c r="E50" s="614"/>
      <c r="F50" s="614"/>
      <c r="G50" s="614"/>
      <c r="H50" s="614"/>
      <c r="I50" s="614"/>
      <c r="J50" s="614"/>
      <c r="K50" s="614"/>
      <c r="L50" s="614"/>
      <c r="M50" s="614"/>
      <c r="N50" s="614"/>
      <c r="O50" s="614"/>
      <c r="P50" s="614"/>
      <c r="Q50" s="614"/>
      <c r="R50" s="614"/>
      <c r="T50" s="102"/>
      <c r="U50" s="102"/>
      <c r="V50" s="102"/>
      <c r="W50" s="102"/>
    </row>
    <row r="51" spans="2:23" ht="15.75" customHeight="1">
      <c r="D51" s="451"/>
      <c r="E51" s="451"/>
      <c r="F51" s="451"/>
      <c r="G51" s="451"/>
      <c r="H51" s="451"/>
      <c r="I51" s="451"/>
      <c r="J51" s="451"/>
      <c r="K51" s="451"/>
      <c r="L51" s="451"/>
      <c r="M51" s="451"/>
      <c r="N51" s="451"/>
      <c r="O51" s="451"/>
      <c r="P51" s="451"/>
      <c r="Q51" s="451"/>
      <c r="R51" s="451"/>
      <c r="T51" s="102"/>
      <c r="U51" s="102"/>
      <c r="V51" s="102"/>
      <c r="W51" s="102"/>
    </row>
    <row r="52" spans="2:23" ht="12.6" customHeight="1">
      <c r="D52" s="451"/>
      <c r="E52" s="451"/>
      <c r="F52" s="451"/>
      <c r="G52" s="451"/>
      <c r="H52" s="451"/>
      <c r="I52" s="451"/>
      <c r="J52" s="451"/>
      <c r="K52" s="451"/>
      <c r="L52" s="451"/>
      <c r="M52" s="451"/>
      <c r="N52" s="451"/>
      <c r="O52" s="451"/>
      <c r="P52" s="451"/>
      <c r="Q52" s="451"/>
      <c r="R52" s="451"/>
      <c r="T52" s="102"/>
      <c r="U52" s="102"/>
      <c r="V52" s="102"/>
      <c r="W52" s="102"/>
    </row>
    <row r="53" spans="2:23" ht="12.6" customHeight="1">
      <c r="D53" s="451"/>
      <c r="E53" s="451"/>
      <c r="F53" s="451"/>
      <c r="G53" s="451"/>
      <c r="H53" s="451"/>
      <c r="I53" s="451"/>
      <c r="J53" s="451"/>
      <c r="K53" s="451"/>
      <c r="L53" s="451"/>
      <c r="M53" s="451"/>
      <c r="N53" s="451"/>
      <c r="O53" s="451"/>
      <c r="P53" s="451"/>
      <c r="Q53" s="451"/>
      <c r="R53" s="451"/>
      <c r="T53" s="102" t="s">
        <v>931</v>
      </c>
      <c r="U53" s="102"/>
      <c r="V53" s="102"/>
      <c r="W53" s="102"/>
    </row>
    <row r="54" spans="2:23" ht="60.6" customHeight="1">
      <c r="D54" s="451"/>
      <c r="E54" s="451"/>
      <c r="F54" s="451"/>
      <c r="G54" s="451"/>
      <c r="H54" s="451"/>
      <c r="I54" s="451"/>
      <c r="J54" s="451"/>
      <c r="K54" s="451"/>
      <c r="L54" s="451"/>
      <c r="M54" s="451"/>
      <c r="N54" s="451"/>
      <c r="O54" s="451"/>
      <c r="P54" s="451"/>
      <c r="Q54" s="451"/>
      <c r="R54" s="451"/>
      <c r="T54" s="102"/>
      <c r="U54" s="102"/>
      <c r="V54" s="102"/>
      <c r="W54" s="102"/>
    </row>
    <row r="55" spans="2:23">
      <c r="B55" s="464"/>
      <c r="C55" s="464"/>
      <c r="D55" s="469"/>
      <c r="E55" s="469"/>
      <c r="F55" s="469"/>
      <c r="G55" s="469"/>
      <c r="H55" s="469"/>
      <c r="I55" s="469"/>
      <c r="J55" s="469"/>
      <c r="K55" s="469"/>
      <c r="L55" s="469"/>
      <c r="M55" s="469"/>
      <c r="N55" s="469"/>
      <c r="O55" s="469"/>
      <c r="P55" s="469"/>
      <c r="Q55" s="469"/>
      <c r="R55" s="469"/>
    </row>
    <row r="56" spans="2:23">
      <c r="B56" s="464"/>
      <c r="C56" s="464"/>
      <c r="D56" s="469"/>
      <c r="E56" s="469"/>
      <c r="F56" s="469"/>
      <c r="G56" s="469"/>
      <c r="H56" s="469"/>
      <c r="I56" s="469"/>
      <c r="J56" s="469"/>
      <c r="K56" s="469"/>
      <c r="L56" s="469"/>
      <c r="M56" s="469"/>
      <c r="N56" s="469"/>
      <c r="O56" s="469"/>
      <c r="P56" s="469"/>
      <c r="Q56" s="469"/>
      <c r="R56" s="469"/>
    </row>
    <row r="57" spans="2:23">
      <c r="B57" s="464"/>
      <c r="C57" s="464"/>
      <c r="D57" s="469"/>
      <c r="E57" s="469"/>
      <c r="F57" s="469"/>
      <c r="G57" s="469"/>
      <c r="H57" s="469"/>
      <c r="I57" s="469"/>
      <c r="J57" s="469"/>
      <c r="K57" s="469"/>
      <c r="L57" s="469"/>
      <c r="M57" s="469"/>
      <c r="N57" s="469"/>
      <c r="O57" s="469"/>
      <c r="P57" s="469"/>
      <c r="Q57" s="469"/>
      <c r="R57" s="469"/>
    </row>
    <row r="58" spans="2:23">
      <c r="B58" s="464"/>
      <c r="C58" s="464"/>
      <c r="D58" s="469"/>
      <c r="E58" s="469"/>
      <c r="F58" s="469"/>
      <c r="G58" s="469"/>
      <c r="H58" s="469"/>
      <c r="I58" s="469"/>
      <c r="J58" s="469"/>
      <c r="K58" s="469"/>
      <c r="L58" s="469"/>
      <c r="M58" s="469"/>
      <c r="N58" s="469"/>
      <c r="O58" s="469"/>
      <c r="P58" s="469"/>
      <c r="Q58" s="469"/>
      <c r="R58" s="469"/>
    </row>
    <row r="59" spans="2:23">
      <c r="B59" s="464"/>
      <c r="C59" s="464"/>
      <c r="D59" s="469"/>
      <c r="E59" s="469"/>
      <c r="F59" s="469"/>
      <c r="G59" s="469"/>
      <c r="H59" s="469"/>
      <c r="I59" s="469"/>
      <c r="J59" s="469"/>
      <c r="K59" s="469"/>
      <c r="L59" s="469"/>
      <c r="M59" s="469"/>
      <c r="N59" s="469"/>
      <c r="O59" s="469"/>
      <c r="P59" s="469"/>
      <c r="Q59" s="469"/>
      <c r="R59" s="469"/>
    </row>
    <row r="60" spans="2:23">
      <c r="B60" s="464"/>
      <c r="C60" s="464"/>
      <c r="D60" s="469"/>
      <c r="E60" s="469"/>
      <c r="F60" s="469"/>
      <c r="G60" s="469"/>
      <c r="H60" s="469"/>
      <c r="I60" s="469"/>
      <c r="J60" s="469"/>
      <c r="K60" s="469"/>
      <c r="L60" s="469"/>
      <c r="M60" s="469"/>
      <c r="N60" s="469"/>
      <c r="O60" s="469"/>
      <c r="P60" s="469"/>
      <c r="Q60" s="469"/>
      <c r="R60" s="469"/>
    </row>
    <row r="61" spans="2:23">
      <c r="B61" s="464"/>
      <c r="C61" s="464"/>
      <c r="D61" s="469"/>
      <c r="E61" s="469"/>
      <c r="F61" s="469"/>
      <c r="G61" s="469"/>
      <c r="H61" s="469"/>
      <c r="I61" s="469"/>
      <c r="J61" s="469"/>
      <c r="K61" s="469"/>
      <c r="L61" s="469"/>
      <c r="M61" s="469"/>
      <c r="N61" s="469"/>
      <c r="O61" s="469"/>
      <c r="P61" s="469"/>
      <c r="Q61" s="469"/>
      <c r="R61" s="469"/>
    </row>
    <row r="62" spans="2:23">
      <c r="B62" s="464"/>
      <c r="C62" s="464"/>
      <c r="D62" s="469"/>
      <c r="E62" s="469"/>
      <c r="F62" s="469"/>
      <c r="G62" s="469"/>
      <c r="H62" s="469"/>
      <c r="I62" s="469"/>
      <c r="J62" s="469"/>
      <c r="K62" s="469"/>
      <c r="L62" s="469"/>
      <c r="M62" s="469"/>
      <c r="N62" s="469"/>
      <c r="O62" s="469"/>
      <c r="P62" s="469"/>
      <c r="Q62" s="469"/>
      <c r="R62" s="469"/>
    </row>
    <row r="63" spans="2:23">
      <c r="B63" s="464"/>
      <c r="C63" s="464"/>
      <c r="D63" s="469"/>
      <c r="E63" s="469"/>
      <c r="F63" s="469"/>
      <c r="G63" s="469"/>
      <c r="H63" s="469"/>
      <c r="I63" s="469"/>
      <c r="J63" s="469"/>
      <c r="K63" s="469"/>
      <c r="L63" s="469"/>
      <c r="M63" s="469"/>
      <c r="N63" s="469"/>
      <c r="O63" s="469"/>
      <c r="P63" s="469"/>
      <c r="Q63" s="469"/>
      <c r="R63" s="469"/>
    </row>
    <row r="64" spans="2:23">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row r="80" spans="2:18">
      <c r="B80" s="464"/>
      <c r="C80" s="464"/>
      <c r="D80" s="469"/>
      <c r="E80" s="469"/>
      <c r="F80" s="469"/>
      <c r="G80" s="469"/>
      <c r="H80" s="469"/>
      <c r="I80" s="469"/>
      <c r="J80" s="469"/>
      <c r="K80" s="469"/>
      <c r="L80" s="469"/>
      <c r="M80" s="469"/>
      <c r="N80" s="469"/>
      <c r="O80" s="469"/>
      <c r="P80" s="469"/>
      <c r="Q80" s="469"/>
      <c r="R80" s="469"/>
    </row>
    <row r="81" spans="2:18">
      <c r="B81" s="464"/>
      <c r="C81" s="464"/>
      <c r="D81" s="469"/>
      <c r="E81" s="469"/>
      <c r="F81" s="469"/>
      <c r="G81" s="469"/>
      <c r="H81" s="469"/>
      <c r="I81" s="469"/>
      <c r="J81" s="469"/>
      <c r="K81" s="469"/>
      <c r="L81" s="469"/>
      <c r="M81" s="469"/>
      <c r="N81" s="469"/>
      <c r="O81" s="469"/>
      <c r="P81" s="469"/>
      <c r="Q81" s="469"/>
      <c r="R81" s="469"/>
    </row>
    <row r="82" spans="2:18">
      <c r="B82" s="464"/>
      <c r="C82" s="464"/>
      <c r="D82" s="469"/>
      <c r="E82" s="469"/>
      <c r="F82" s="469"/>
      <c r="G82" s="469"/>
      <c r="H82" s="469"/>
      <c r="I82" s="469"/>
      <c r="J82" s="469"/>
      <c r="K82" s="469"/>
      <c r="L82" s="469"/>
      <c r="M82" s="469"/>
      <c r="N82" s="469"/>
      <c r="O82" s="469"/>
      <c r="P82" s="469"/>
      <c r="Q82" s="469"/>
      <c r="R82" s="469"/>
    </row>
    <row r="83" spans="2:18">
      <c r="B83" s="464"/>
      <c r="C83" s="464"/>
      <c r="D83" s="469"/>
      <c r="E83" s="469"/>
      <c r="F83" s="469"/>
      <c r="G83" s="469"/>
      <c r="H83" s="469"/>
      <c r="I83" s="469"/>
      <c r="J83" s="469"/>
      <c r="K83" s="469"/>
      <c r="L83" s="469"/>
      <c r="M83" s="469"/>
      <c r="N83" s="469"/>
      <c r="O83" s="469"/>
      <c r="P83" s="469"/>
      <c r="Q83" s="469"/>
      <c r="R83" s="469"/>
    </row>
  </sheetData>
  <mergeCells count="5">
    <mergeCell ref="B2:N2"/>
    <mergeCell ref="B47:R47"/>
    <mergeCell ref="B48:P48"/>
    <mergeCell ref="B49:R49"/>
    <mergeCell ref="B50:R50"/>
  </mergeCells>
  <conditionalFormatting sqref="B9:R45">
    <cfRule type="expression" dxfId="43" priority="1">
      <formula>MOD(ROW(),2)=0</formula>
    </cfRule>
  </conditionalFormatting>
  <pageMargins left="0.7" right="0.7" top="0.75" bottom="0.75" header="0.3" footer="0.3"/>
  <pageSetup scale="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E3BDB-9424-4BF0-966E-26680CBF71B0}">
  <sheetPr codeName="Sheet5">
    <pageSetUpPr fitToPage="1"/>
  </sheetPr>
  <dimension ref="B2:Y79"/>
  <sheetViews>
    <sheetView showGridLines="0" zoomScaleNormal="100" workbookViewId="0">
      <pane xSplit="3" ySplit="4" topLeftCell="D17"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9.7109375" style="452" customWidth="1" collapsed="1"/>
    <col min="5" max="18" width="9.7109375" style="452" customWidth="1"/>
    <col min="19" max="19" width="9.140625" style="451"/>
    <col min="20" max="22" width="0" style="451" hidden="1" customWidth="1"/>
    <col min="23" max="16384" width="9.140625" style="451"/>
  </cols>
  <sheetData>
    <row r="2" spans="2:25" ht="15.75" customHeight="1">
      <c r="B2" s="612" t="str">
        <f>"Table A2. Advanced Economies: General Government Primary Balance, "&amp;$D$4&amp;"–"&amp;RIGHT($R$4,2)</f>
        <v>Table A2. Advanced Economies: General Government Primary Balance, 2014–28</v>
      </c>
      <c r="C2" s="612"/>
      <c r="D2" s="612"/>
      <c r="E2" s="612"/>
      <c r="F2" s="612"/>
      <c r="G2" s="612"/>
      <c r="H2" s="612"/>
      <c r="I2" s="612"/>
      <c r="J2" s="612"/>
      <c r="K2" s="612"/>
      <c r="L2" s="612"/>
      <c r="M2" s="612"/>
      <c r="N2" s="612"/>
      <c r="O2" s="453"/>
      <c r="P2" s="453"/>
      <c r="Q2" s="453"/>
      <c r="R2" s="453"/>
    </row>
    <row r="3" spans="2:25" ht="15.75">
      <c r="B3" s="454" t="s">
        <v>81</v>
      </c>
      <c r="C3" s="455"/>
      <c r="D3" s="455"/>
      <c r="E3" s="455"/>
      <c r="F3" s="455"/>
      <c r="G3" s="455"/>
      <c r="H3" s="455"/>
      <c r="I3" s="455"/>
      <c r="J3" s="455"/>
      <c r="K3" s="455"/>
      <c r="L3" s="455"/>
      <c r="M3" s="455"/>
      <c r="N3" s="455"/>
      <c r="O3" s="455"/>
      <c r="P3" s="455"/>
      <c r="Q3" s="470"/>
      <c r="R3" s="470"/>
    </row>
    <row r="4" spans="2:25"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5">
      <c r="B5" s="459" t="s">
        <v>196</v>
      </c>
      <c r="C5" s="460" t="s">
        <v>84</v>
      </c>
      <c r="D5" s="461">
        <v>-1.4701181074009126</v>
      </c>
      <c r="E5" s="461">
        <v>-1.0786723624416468</v>
      </c>
      <c r="F5" s="461">
        <v>-1.1392325608368832</v>
      </c>
      <c r="G5" s="461">
        <v>-0.98109481426190481</v>
      </c>
      <c r="H5" s="461">
        <v>-0.92845439142620267</v>
      </c>
      <c r="I5" s="461">
        <v>-1.5483962327182346</v>
      </c>
      <c r="J5" s="461">
        <v>-9.0012376647347931</v>
      </c>
      <c r="K5" s="461">
        <v>-6.1688158014337429</v>
      </c>
      <c r="L5" s="461">
        <v>-2.8056609864410071</v>
      </c>
      <c r="M5" s="461">
        <v>-2.8230604311952181</v>
      </c>
      <c r="N5" s="461">
        <v>-2.4396624546751982</v>
      </c>
      <c r="O5" s="461">
        <v>-2.280440361483719</v>
      </c>
      <c r="P5" s="461">
        <v>-2.064791689165197</v>
      </c>
      <c r="Q5" s="461">
        <v>-1.875065094416388</v>
      </c>
      <c r="R5" s="461">
        <v>-1.8902543319800531</v>
      </c>
      <c r="T5" s="471"/>
      <c r="U5" s="472"/>
      <c r="V5" s="472"/>
      <c r="W5" s="472"/>
      <c r="X5" s="472"/>
      <c r="Y5" s="472"/>
    </row>
    <row r="6" spans="2:25">
      <c r="B6" s="462" t="s">
        <v>88</v>
      </c>
      <c r="C6" s="460" t="s">
        <v>88</v>
      </c>
      <c r="D6" s="461">
        <v>-0.17967508570163704</v>
      </c>
      <c r="E6" s="461">
        <v>0.12462346785199886</v>
      </c>
      <c r="F6" s="461">
        <v>0.43667881312724605</v>
      </c>
      <c r="G6" s="461">
        <v>0.83755145727685432</v>
      </c>
      <c r="H6" s="461">
        <v>1.2211712125910374</v>
      </c>
      <c r="I6" s="461">
        <v>0.80328399021844732</v>
      </c>
      <c r="J6" s="461">
        <v>-5.7380169485289638</v>
      </c>
      <c r="K6" s="461">
        <v>-4.0479902965526078</v>
      </c>
      <c r="L6" s="461">
        <v>-2.2902185395319341</v>
      </c>
      <c r="M6" s="461">
        <v>-2.1479172465064389</v>
      </c>
      <c r="N6" s="461">
        <v>-1.1578248187294242</v>
      </c>
      <c r="O6" s="461">
        <v>-0.58310127376499166</v>
      </c>
      <c r="P6" s="461">
        <v>-0.32141729272368214</v>
      </c>
      <c r="Q6" s="461">
        <v>-0.11187426687841547</v>
      </c>
      <c r="R6" s="461">
        <v>-1.0638109557069897E-2</v>
      </c>
      <c r="T6" s="472"/>
      <c r="U6" s="472"/>
      <c r="V6" s="472"/>
      <c r="W6" s="472"/>
      <c r="X6" s="472"/>
      <c r="Y6" s="472"/>
    </row>
    <row r="7" spans="2:25">
      <c r="B7" s="462" t="s">
        <v>914</v>
      </c>
      <c r="C7" s="462" t="s">
        <v>915</v>
      </c>
      <c r="D7" s="461">
        <v>-1.7761817037193195</v>
      </c>
      <c r="E7" s="461">
        <v>-1.3066605119737036</v>
      </c>
      <c r="F7" s="461">
        <v>-1.5861220637364477</v>
      </c>
      <c r="G7" s="461">
        <v>-1.6064103004873229</v>
      </c>
      <c r="H7" s="461">
        <v>-1.5674181812227814</v>
      </c>
      <c r="I7" s="461">
        <v>-2.0552352748973473</v>
      </c>
      <c r="J7" s="461">
        <v>-10.070604481460901</v>
      </c>
      <c r="K7" s="461">
        <v>-7.3834189598823219</v>
      </c>
      <c r="L7" s="461">
        <v>-3.5224635091037428</v>
      </c>
      <c r="M7" s="461">
        <v>-3.5856048689494759</v>
      </c>
      <c r="N7" s="461">
        <v>-3.1968426096440021</v>
      </c>
      <c r="O7" s="461">
        <v>-2.9916922651409243</v>
      </c>
      <c r="P7" s="461">
        <v>-2.7272425139227665</v>
      </c>
      <c r="Q7" s="461">
        <v>-2.4777775013970849</v>
      </c>
      <c r="R7" s="461">
        <v>-2.4846223212815763</v>
      </c>
      <c r="T7" s="471"/>
      <c r="U7" s="472"/>
      <c r="V7" s="472"/>
      <c r="W7" s="472"/>
      <c r="X7" s="472"/>
      <c r="Y7" s="472"/>
    </row>
    <row r="8" spans="2:25">
      <c r="B8" s="462" t="s">
        <v>916</v>
      </c>
      <c r="C8" s="463" t="s">
        <v>86</v>
      </c>
      <c r="D8" s="461">
        <v>-1.7136447345275607</v>
      </c>
      <c r="E8" s="461">
        <v>-1.2666768857196886</v>
      </c>
      <c r="F8" s="461">
        <v>-1.4693405554004539</v>
      </c>
      <c r="G8" s="461">
        <v>-1.4402209016643002</v>
      </c>
      <c r="H8" s="461">
        <v>-1.3766974769183637</v>
      </c>
      <c r="I8" s="461">
        <v>-2.0309305656528345</v>
      </c>
      <c r="J8" s="461">
        <v>-9.7091144153809328</v>
      </c>
      <c r="K8" s="461">
        <v>-7.0385806982132655</v>
      </c>
      <c r="L8" s="461">
        <v>-3.3949122173824007</v>
      </c>
      <c r="M8" s="461">
        <v>-3.4046578216946086</v>
      </c>
      <c r="N8" s="461">
        <v>-3.032639011788818</v>
      </c>
      <c r="O8" s="461">
        <v>-2.824709272016118</v>
      </c>
      <c r="P8" s="461">
        <v>-2.5640989662415916</v>
      </c>
      <c r="Q8" s="461">
        <v>-2.3230029750323293</v>
      </c>
      <c r="R8" s="461">
        <v>-2.3182183540738599</v>
      </c>
      <c r="T8" s="471"/>
      <c r="U8" s="472"/>
      <c r="V8" s="472"/>
      <c r="W8" s="472"/>
      <c r="X8" s="472"/>
      <c r="Y8" s="472"/>
    </row>
    <row r="9" spans="2:25" ht="14.25" customHeight="1">
      <c r="B9" s="464" t="s">
        <v>917</v>
      </c>
      <c r="C9" s="464" t="s">
        <v>917</v>
      </c>
      <c r="D9" s="465" t="s">
        <v>139</v>
      </c>
      <c r="E9" s="465" t="s">
        <v>139</v>
      </c>
      <c r="F9" s="465" t="s">
        <v>139</v>
      </c>
      <c r="G9" s="465" t="s">
        <v>139</v>
      </c>
      <c r="H9" s="465" t="s">
        <v>139</v>
      </c>
      <c r="I9" s="465" t="s">
        <v>139</v>
      </c>
      <c r="J9" s="465" t="s">
        <v>139</v>
      </c>
      <c r="K9" s="465" t="s">
        <v>139</v>
      </c>
      <c r="L9" s="465" t="s">
        <v>139</v>
      </c>
      <c r="M9" s="465" t="s">
        <v>139</v>
      </c>
      <c r="N9" s="465" t="s">
        <v>139</v>
      </c>
      <c r="O9" s="465" t="s">
        <v>139</v>
      </c>
      <c r="P9" s="465" t="s">
        <v>139</v>
      </c>
      <c r="Q9" s="465" t="s">
        <v>139</v>
      </c>
      <c r="R9" s="465" t="s">
        <v>139</v>
      </c>
    </row>
    <row r="10" spans="2:25" ht="14.25" customHeight="1">
      <c r="B10" s="464" t="s">
        <v>279</v>
      </c>
      <c r="C10" s="464" t="s">
        <v>279</v>
      </c>
      <c r="D10" s="465">
        <v>-2.0792792815125321</v>
      </c>
      <c r="E10" s="465">
        <v>-1.871275393242791</v>
      </c>
      <c r="F10" s="465">
        <v>-1.5206045209548229</v>
      </c>
      <c r="G10" s="465">
        <v>-0.84881356458963697</v>
      </c>
      <c r="H10" s="465">
        <v>-0.41376528521400219</v>
      </c>
      <c r="I10" s="465">
        <v>-3.583426792278166</v>
      </c>
      <c r="J10" s="465">
        <v>-7.8360912602166417</v>
      </c>
      <c r="K10" s="465">
        <v>-5.3495477881795939</v>
      </c>
      <c r="L10" s="465">
        <v>-2.2960439054671578</v>
      </c>
      <c r="M10" s="465">
        <v>-1.7820823644194472</v>
      </c>
      <c r="N10" s="465">
        <v>-1.3326028045979241</v>
      </c>
      <c r="O10" s="465">
        <v>-0.97890478971795025</v>
      </c>
      <c r="P10" s="465">
        <v>-0.61927581703168388</v>
      </c>
      <c r="Q10" s="465">
        <v>-0.42025024036267505</v>
      </c>
      <c r="R10" s="465">
        <v>-0.14230003623965351</v>
      </c>
    </row>
    <row r="11" spans="2:25" ht="13.5" customHeight="1">
      <c r="B11" s="464" t="s">
        <v>439</v>
      </c>
      <c r="C11" s="464" t="s">
        <v>439</v>
      </c>
      <c r="D11" s="465">
        <v>-0.74879759961170189</v>
      </c>
      <c r="E11" s="465">
        <v>0.85545240310419768</v>
      </c>
      <c r="F11" s="465">
        <v>0.1384638647620266</v>
      </c>
      <c r="G11" s="465">
        <v>0.64371766569025557</v>
      </c>
      <c r="H11" s="465">
        <v>1.3987619800968762</v>
      </c>
      <c r="I11" s="465">
        <v>1.646508397427239</v>
      </c>
      <c r="J11" s="465">
        <v>-7.0884475860561391</v>
      </c>
      <c r="K11" s="465">
        <v>-5.2061144360635732</v>
      </c>
      <c r="L11" s="465">
        <v>-2.6546784712289773</v>
      </c>
      <c r="M11" s="465">
        <v>-1.8341109120882468</v>
      </c>
      <c r="N11" s="465">
        <v>-0.49600477572493906</v>
      </c>
      <c r="O11" s="465">
        <v>8.358822571870439E-2</v>
      </c>
      <c r="P11" s="465">
        <v>5.679980655682261E-2</v>
      </c>
      <c r="Q11" s="465">
        <v>-3.1896556808461221E-2</v>
      </c>
      <c r="R11" s="465">
        <v>-2.4000934116130614E-2</v>
      </c>
    </row>
    <row r="12" spans="2:25" ht="13.5" customHeight="1">
      <c r="B12" s="464" t="s">
        <v>444</v>
      </c>
      <c r="C12" s="464" t="s">
        <v>444</v>
      </c>
      <c r="D12" s="465">
        <v>-0.18582942104793004</v>
      </c>
      <c r="E12" s="465">
        <v>0.15845856271388187</v>
      </c>
      <c r="F12" s="465">
        <v>4.7199972098538661E-3</v>
      </c>
      <c r="G12" s="465">
        <v>1.3792382878328278</v>
      </c>
      <c r="H12" s="465">
        <v>0.96815353080419342</v>
      </c>
      <c r="I12" s="465">
        <v>-0.23882000229815417</v>
      </c>
      <c r="J12" s="465">
        <v>-7.2973472574408573</v>
      </c>
      <c r="K12" s="465">
        <v>-4.1214026342193701</v>
      </c>
      <c r="L12" s="465">
        <v>-3.0354792188502047</v>
      </c>
      <c r="M12" s="465">
        <v>-3.7257191867201165</v>
      </c>
      <c r="N12" s="465">
        <v>-3.5298316659954887</v>
      </c>
      <c r="O12" s="465">
        <v>-3.2956271785048417</v>
      </c>
      <c r="P12" s="465">
        <v>-3.2361791644668765</v>
      </c>
      <c r="Q12" s="465">
        <v>-3.0802685311827416</v>
      </c>
      <c r="R12" s="465">
        <v>-2.9677913068307227</v>
      </c>
    </row>
    <row r="13" spans="2:25" ht="13.5" customHeight="1">
      <c r="B13" s="464" t="s">
        <v>87</v>
      </c>
      <c r="C13" s="464" t="s">
        <v>87</v>
      </c>
      <c r="D13" s="465">
        <v>0.45069973502404637</v>
      </c>
      <c r="E13" s="465">
        <v>0.58670415249685881</v>
      </c>
      <c r="F13" s="465">
        <v>0.12515212030401845</v>
      </c>
      <c r="G13" s="465">
        <v>7.7500150655808231E-2</v>
      </c>
      <c r="H13" s="465">
        <v>0.44214834445972689</v>
      </c>
      <c r="I13" s="465">
        <v>7.7326616997204028E-2</v>
      </c>
      <c r="J13" s="465">
        <v>-10.508666183037279</v>
      </c>
      <c r="K13" s="465">
        <v>-5.0066982305673617</v>
      </c>
      <c r="L13" s="465">
        <v>-1.2506108356590868</v>
      </c>
      <c r="M13" s="465">
        <v>-0.60353160339459655</v>
      </c>
      <c r="N13" s="465">
        <v>-0.54958181629680669</v>
      </c>
      <c r="O13" s="465">
        <v>-0.54618537495716879</v>
      </c>
      <c r="P13" s="465">
        <v>-0.43376708251692586</v>
      </c>
      <c r="Q13" s="465">
        <v>-0.42129237864425079</v>
      </c>
      <c r="R13" s="465">
        <v>-0.40400399262833198</v>
      </c>
    </row>
    <row r="14" spans="2:25" ht="13.5" customHeight="1">
      <c r="B14" s="464" t="s">
        <v>430</v>
      </c>
      <c r="C14" s="464" t="s">
        <v>430</v>
      </c>
      <c r="D14" s="465">
        <v>-2.2583178157180352</v>
      </c>
      <c r="E14" s="465">
        <v>-0.39053616723519635</v>
      </c>
      <c r="F14" s="465">
        <v>1.8041030191629164</v>
      </c>
      <c r="G14" s="465">
        <v>3.0386930005250616</v>
      </c>
      <c r="H14" s="465">
        <v>2.0095509512439347</v>
      </c>
      <c r="I14" s="465">
        <v>2.2013324815186639</v>
      </c>
      <c r="J14" s="465">
        <v>-5.5558859090999189</v>
      </c>
      <c r="K14" s="465">
        <v>-1.2221687740516769</v>
      </c>
      <c r="L14" s="465">
        <v>0.47882133530906351</v>
      </c>
      <c r="M14" s="465">
        <v>-0.45755606950784256</v>
      </c>
      <c r="N14" s="465">
        <v>0.26223321719351983</v>
      </c>
      <c r="O14" s="465">
        <v>0.45172899603472016</v>
      </c>
      <c r="P14" s="465">
        <v>0.48081962971219699</v>
      </c>
      <c r="Q14" s="465">
        <v>0.38101581163136816</v>
      </c>
      <c r="R14" s="465">
        <v>0.29318201346408512</v>
      </c>
    </row>
    <row r="15" spans="2:25" ht="13.5" customHeight="1">
      <c r="B15" s="464" t="s">
        <v>918</v>
      </c>
      <c r="C15" s="464" t="s">
        <v>421</v>
      </c>
      <c r="D15" s="465">
        <v>2.7987507721875216</v>
      </c>
      <c r="E15" s="465">
        <v>3.0851710051883927</v>
      </c>
      <c r="F15" s="465">
        <v>2.7001725080994654</v>
      </c>
      <c r="G15" s="465">
        <v>4.286072970564633</v>
      </c>
      <c r="H15" s="465">
        <v>-1.3434770773837261</v>
      </c>
      <c r="I15" s="465">
        <v>3.3806378122289775</v>
      </c>
      <c r="J15" s="465">
        <v>-3.752454898378625</v>
      </c>
      <c r="K15" s="465">
        <v>3.8303329058903858E-2</v>
      </c>
      <c r="L15" s="465">
        <v>3.671001825135034</v>
      </c>
      <c r="M15" s="465">
        <v>3.2486424317292579</v>
      </c>
      <c r="N15" s="465">
        <v>2.9842327141754144</v>
      </c>
      <c r="O15" s="465">
        <v>2.7656901961695848</v>
      </c>
      <c r="P15" s="465">
        <v>2.5528821465534874</v>
      </c>
      <c r="Q15" s="465">
        <v>2.2835309857099482</v>
      </c>
      <c r="R15" s="465">
        <v>2.2484519901981086</v>
      </c>
    </row>
    <row r="16" spans="2:25" ht="13.5" customHeight="1">
      <c r="B16" s="464" t="s">
        <v>919</v>
      </c>
      <c r="C16" s="464" t="s">
        <v>919</v>
      </c>
      <c r="D16" s="465">
        <v>-0.97932102188659031</v>
      </c>
      <c r="E16" s="465">
        <v>0.27085353888914593</v>
      </c>
      <c r="F16" s="465">
        <v>1.4960996465822631</v>
      </c>
      <c r="G16" s="465">
        <v>2.1445805433769607</v>
      </c>
      <c r="H16" s="465">
        <v>1.4798103261260294</v>
      </c>
      <c r="I16" s="465">
        <v>0.78886326128404083</v>
      </c>
      <c r="J16" s="465">
        <v>-5.1692280313764032</v>
      </c>
      <c r="K16" s="465">
        <v>-4.4961814403908384</v>
      </c>
      <c r="L16" s="465">
        <v>-2.9328718114903936</v>
      </c>
      <c r="M16" s="465">
        <v>-3.2746492040524497</v>
      </c>
      <c r="N16" s="465">
        <v>-1.661800698135325</v>
      </c>
      <c r="O16" s="465">
        <v>-1.3640389393779671</v>
      </c>
      <c r="P16" s="465">
        <v>-1.3502965016121087</v>
      </c>
      <c r="Q16" s="465">
        <v>-1.3275721316694118</v>
      </c>
      <c r="R16" s="465">
        <v>-1.3379620382723794</v>
      </c>
    </row>
    <row r="17" spans="2:18" ht="13.5" customHeight="1">
      <c r="B17" s="464" t="s">
        <v>451</v>
      </c>
      <c r="C17" s="464" t="s">
        <v>451</v>
      </c>
      <c r="D17" s="465">
        <v>1.594869685260945</v>
      </c>
      <c r="E17" s="465">
        <v>-0.59179239779292037</v>
      </c>
      <c r="F17" s="465">
        <v>0.40710519786185562</v>
      </c>
      <c r="G17" s="465">
        <v>1.6916405223989492</v>
      </c>
      <c r="H17" s="465">
        <v>0.39302094913494123</v>
      </c>
      <c r="I17" s="465">
        <v>3.8509187760038603</v>
      </c>
      <c r="J17" s="465">
        <v>-0.10757685290371441</v>
      </c>
      <c r="K17" s="465">
        <v>3.2184625927001163</v>
      </c>
      <c r="L17" s="465">
        <v>2.0780291664731809</v>
      </c>
      <c r="M17" s="465">
        <v>1.1393968267833414</v>
      </c>
      <c r="N17" s="465">
        <v>0.25565225867890645</v>
      </c>
      <c r="O17" s="465">
        <v>-9.270259556627039E-2</v>
      </c>
      <c r="P17" s="465">
        <v>-0.13614411269733501</v>
      </c>
      <c r="Q17" s="465">
        <v>-0.19647162408951438</v>
      </c>
      <c r="R17" s="465">
        <v>-0.30225553838038954</v>
      </c>
    </row>
    <row r="18" spans="2:18" ht="13.5" customHeight="1">
      <c r="B18" s="464" t="s">
        <v>423</v>
      </c>
      <c r="C18" s="464" t="s">
        <v>423</v>
      </c>
      <c r="D18" s="465">
        <v>0.66800261170188091</v>
      </c>
      <c r="E18" s="465">
        <v>8.9045807428202783E-2</v>
      </c>
      <c r="F18" s="465">
        <v>-0.48018599496962922</v>
      </c>
      <c r="G18" s="465">
        <v>-0.76871953621836031</v>
      </c>
      <c r="H18" s="465">
        <v>-0.57779591912285011</v>
      </c>
      <c r="I18" s="465">
        <v>0.10262797441214087</v>
      </c>
      <c r="J18" s="465">
        <v>-5.4650149754341708</v>
      </c>
      <c r="K18" s="465">
        <v>-2.3124480202207542</v>
      </c>
      <c r="L18" s="465">
        <v>-1.1195613813240683</v>
      </c>
      <c r="M18" s="465">
        <v>-4.49433575914545</v>
      </c>
      <c r="N18" s="465">
        <v>-3.1766539515443828</v>
      </c>
      <c r="O18" s="465">
        <v>-2.3958057763394316</v>
      </c>
      <c r="P18" s="465">
        <v>-1.6118290840993217</v>
      </c>
      <c r="Q18" s="465">
        <v>-1.1500054668176027</v>
      </c>
      <c r="R18" s="465">
        <v>-0.99542976761870117</v>
      </c>
    </row>
    <row r="19" spans="2:18" ht="13.5" customHeight="1">
      <c r="B19" s="464" t="s">
        <v>481</v>
      </c>
      <c r="C19" s="464" t="s">
        <v>481</v>
      </c>
      <c r="D19" s="465">
        <v>-2.8347438580549742</v>
      </c>
      <c r="E19" s="465">
        <v>-2.2849303403741987</v>
      </c>
      <c r="F19" s="465">
        <v>-1.4159747699040999</v>
      </c>
      <c r="G19" s="465">
        <v>-0.395049071811437</v>
      </c>
      <c r="H19" s="465">
        <v>-0.69004805921306256</v>
      </c>
      <c r="I19" s="465">
        <v>-0.7954706534699697</v>
      </c>
      <c r="J19" s="465">
        <v>-5.4121610835244791</v>
      </c>
      <c r="K19" s="465">
        <v>-2.7626359769188409</v>
      </c>
      <c r="L19" s="465">
        <v>-1.9504659307164305</v>
      </c>
      <c r="M19" s="465">
        <v>-2.1329410720339901</v>
      </c>
      <c r="N19" s="465">
        <v>-1.7982933160957535</v>
      </c>
      <c r="O19" s="465">
        <v>-2.3758255584746313</v>
      </c>
      <c r="P19" s="465">
        <v>-2.5021139929932326</v>
      </c>
      <c r="Q19" s="465">
        <v>-2.4978906941479186</v>
      </c>
      <c r="R19" s="465">
        <v>-2.5915968910351128</v>
      </c>
    </row>
    <row r="20" spans="2:18" ht="13.5" customHeight="1">
      <c r="B20" s="464" t="s">
        <v>90</v>
      </c>
      <c r="C20" s="464" t="s">
        <v>90</v>
      </c>
      <c r="D20" s="465">
        <v>-1.8497835809960623</v>
      </c>
      <c r="E20" s="465">
        <v>-1.7500200142647124</v>
      </c>
      <c r="F20" s="465">
        <v>-1.8922363032752361</v>
      </c>
      <c r="G20" s="465">
        <v>-1.3245883542090906</v>
      </c>
      <c r="H20" s="465">
        <v>-0.67997965561801987</v>
      </c>
      <c r="I20" s="465">
        <v>-1.7070234058831613</v>
      </c>
      <c r="J20" s="465">
        <v>-7.7946358136034855</v>
      </c>
      <c r="K20" s="465">
        <v>-5.2431084554608303</v>
      </c>
      <c r="L20" s="465">
        <v>-3.010632569150212</v>
      </c>
      <c r="M20" s="465">
        <v>-3.6807764288128548</v>
      </c>
      <c r="N20" s="465">
        <v>-3.0290158010777786</v>
      </c>
      <c r="O20" s="465">
        <v>-2.5359054425996264</v>
      </c>
      <c r="P20" s="465">
        <v>-1.9747320201031733</v>
      </c>
      <c r="Q20" s="465">
        <v>-1.5485066032683514</v>
      </c>
      <c r="R20" s="465">
        <v>-1.3551882842858998</v>
      </c>
    </row>
    <row r="21" spans="2:18" ht="13.5" customHeight="1">
      <c r="B21" s="464" t="s">
        <v>91</v>
      </c>
      <c r="C21" s="464" t="s">
        <v>91</v>
      </c>
      <c r="D21" s="465">
        <v>1.8126137943520426</v>
      </c>
      <c r="E21" s="465">
        <v>2.0430708021333825</v>
      </c>
      <c r="F21" s="465">
        <v>2.0940811678161508</v>
      </c>
      <c r="G21" s="465">
        <v>2.170784412150002</v>
      </c>
      <c r="H21" s="465">
        <v>2.672183511863198</v>
      </c>
      <c r="I21" s="465">
        <v>2.1115321052843727</v>
      </c>
      <c r="J21" s="465">
        <v>-3.8864617279202691</v>
      </c>
      <c r="K21" s="465">
        <v>-3.2867469284588764</v>
      </c>
      <c r="L21" s="465">
        <v>-2.0695070559629429</v>
      </c>
      <c r="M21" s="465">
        <v>-2.9216774654397417</v>
      </c>
      <c r="N21" s="465">
        <v>-1.0365053546096676</v>
      </c>
      <c r="O21" s="465">
        <v>9.1608435900736335E-2</v>
      </c>
      <c r="P21" s="465">
        <v>0.30858988222478412</v>
      </c>
      <c r="Q21" s="465">
        <v>0.48298511292231072</v>
      </c>
      <c r="R21" s="465">
        <v>0.50497964932801376</v>
      </c>
    </row>
    <row r="22" spans="2:18" ht="13.5" customHeight="1">
      <c r="B22" s="464" t="s">
        <v>425</v>
      </c>
      <c r="C22" s="464" t="s">
        <v>425</v>
      </c>
      <c r="D22" s="465">
        <v>-0.21711164774650746</v>
      </c>
      <c r="E22" s="465">
        <v>0.56472509341210764</v>
      </c>
      <c r="F22" s="465">
        <v>3.4698001988641543</v>
      </c>
      <c r="G22" s="465">
        <v>4.0510968871698037</v>
      </c>
      <c r="H22" s="465">
        <v>4.1941879504115658</v>
      </c>
      <c r="I22" s="465">
        <v>3.2298705761081203</v>
      </c>
      <c r="J22" s="465">
        <v>-7.7264895257096216</v>
      </c>
      <c r="K22" s="465">
        <v>-5.4861703591578364</v>
      </c>
      <c r="L22" s="465">
        <v>-1.4740410631681455</v>
      </c>
      <c r="M22" s="465">
        <v>0.36228585509584449</v>
      </c>
      <c r="N22" s="465">
        <v>1.3984755360974863</v>
      </c>
      <c r="O22" s="465">
        <v>1.577284687447952</v>
      </c>
      <c r="P22" s="465">
        <v>1.8376979928753683</v>
      </c>
      <c r="Q22" s="465">
        <v>2.035585998211213</v>
      </c>
      <c r="R22" s="465">
        <v>2.0228313770598696</v>
      </c>
    </row>
    <row r="23" spans="2:18" ht="13.5" customHeight="1">
      <c r="B23" s="464" t="s">
        <v>920</v>
      </c>
      <c r="C23" s="464" t="s">
        <v>920</v>
      </c>
      <c r="D23" s="465">
        <v>3.5968698915842987</v>
      </c>
      <c r="E23" s="465">
        <v>0.59068166577897196</v>
      </c>
      <c r="F23" s="465">
        <v>3.5718246560873426</v>
      </c>
      <c r="G23" s="465">
        <v>4.7049861295438919</v>
      </c>
      <c r="H23" s="465">
        <v>0.95744130167374053</v>
      </c>
      <c r="I23" s="465">
        <v>-2.2458950302004372</v>
      </c>
      <c r="J23" s="465">
        <v>-11.143722682221407</v>
      </c>
      <c r="K23" s="465">
        <v>-2.7267140713682645</v>
      </c>
      <c r="L23" s="465">
        <v>-10.199383559333592</v>
      </c>
      <c r="M23" s="465">
        <v>-5.7962551445961452</v>
      </c>
      <c r="N23" s="465">
        <v>-2.4038588684108517</v>
      </c>
      <c r="O23" s="465">
        <v>-1.3192133683644749</v>
      </c>
      <c r="P23" s="465">
        <v>-0.60166408664351723</v>
      </c>
      <c r="Q23" s="465">
        <v>-0.51641034442757128</v>
      </c>
      <c r="R23" s="465">
        <v>-0.49060654857984781</v>
      </c>
    </row>
    <row r="24" spans="2:18" ht="13.5" customHeight="1">
      <c r="B24" s="464" t="s">
        <v>921</v>
      </c>
      <c r="C24" s="464" t="s">
        <v>921</v>
      </c>
      <c r="D24" s="465">
        <v>3.7748518951667016</v>
      </c>
      <c r="E24" s="465">
        <v>3.2097308001218599</v>
      </c>
      <c r="F24" s="465">
        <v>15.461319333645429</v>
      </c>
      <c r="G24" s="465">
        <v>3.9497206429017258</v>
      </c>
      <c r="H24" s="465">
        <v>3.0758184789610334</v>
      </c>
      <c r="I24" s="465">
        <v>0.46829803212972265</v>
      </c>
      <c r="J24" s="465">
        <v>-6.7800140813463274</v>
      </c>
      <c r="K24" s="465">
        <v>-6.3436758163037954</v>
      </c>
      <c r="L24" s="465">
        <v>-1.8878158971287293</v>
      </c>
      <c r="M24" s="465">
        <v>0.91661138380458584</v>
      </c>
      <c r="N24" s="465">
        <v>1.3407310922705826</v>
      </c>
      <c r="O24" s="465">
        <v>2.3409397831334129</v>
      </c>
      <c r="P24" s="465">
        <v>2.8840325334719954</v>
      </c>
      <c r="Q24" s="465">
        <v>2.8868903179452872</v>
      </c>
      <c r="R24" s="465">
        <v>2.4321911893598687</v>
      </c>
    </row>
    <row r="25" spans="2:18" ht="13.5" customHeight="1">
      <c r="B25" s="464" t="s">
        <v>922</v>
      </c>
      <c r="C25" s="464" t="s">
        <v>429</v>
      </c>
      <c r="D25" s="465">
        <v>-0.26039931311992209</v>
      </c>
      <c r="E25" s="465">
        <v>0.34204642248722317</v>
      </c>
      <c r="F25" s="465">
        <v>1.4635870409983494</v>
      </c>
      <c r="G25" s="465">
        <v>1.6507759526872043</v>
      </c>
      <c r="H25" s="465">
        <v>1.7117175038499102</v>
      </c>
      <c r="I25" s="465">
        <v>1.7393644608289762</v>
      </c>
      <c r="J25" s="465">
        <v>-4.0172086386507742</v>
      </c>
      <c r="K25" s="465">
        <v>-0.89546146573989582</v>
      </c>
      <c r="L25" s="465">
        <v>1.9279192344781582</v>
      </c>
      <c r="M25" s="465">
        <v>2.0136488550667626</v>
      </c>
      <c r="N25" s="465">
        <v>1.87497668949437</v>
      </c>
      <c r="O25" s="465">
        <v>1.5989386801368406</v>
      </c>
      <c r="P25" s="465">
        <v>1.6685249155720931</v>
      </c>
      <c r="Q25" s="465">
        <v>1.6552279670354122</v>
      </c>
      <c r="R25" s="465">
        <v>1.3705214091520737</v>
      </c>
    </row>
    <row r="26" spans="2:18" ht="13.5" customHeight="1">
      <c r="B26" s="464" t="s">
        <v>923</v>
      </c>
      <c r="C26" s="464" t="s">
        <v>923</v>
      </c>
      <c r="D26" s="465">
        <v>-0.22477324650024039</v>
      </c>
      <c r="E26" s="465">
        <v>0.57743318596610016</v>
      </c>
      <c r="F26" s="465">
        <v>0.16214734488657959</v>
      </c>
      <c r="G26" s="465">
        <v>0.7458688496874909</v>
      </c>
      <c r="H26" s="465">
        <v>-1.421287726502148</v>
      </c>
      <c r="I26" s="465">
        <v>-2.0186176613468598</v>
      </c>
      <c r="J26" s="465">
        <v>-8.9616508091619611</v>
      </c>
      <c r="K26" s="465">
        <v>-1.0264607047718872</v>
      </c>
      <c r="L26" s="465">
        <v>2.4774906333728275</v>
      </c>
      <c r="M26" s="465">
        <v>0.91077412638107746</v>
      </c>
      <c r="N26" s="465">
        <v>0.65143420046983092</v>
      </c>
      <c r="O26" s="465">
        <v>-0.59577749271768599</v>
      </c>
      <c r="P26" s="465">
        <v>-0.92664163660781218</v>
      </c>
      <c r="Q26" s="465">
        <v>-0.91588146733514542</v>
      </c>
      <c r="R26" s="465">
        <v>-0.88147412268096226</v>
      </c>
    </row>
    <row r="27" spans="2:18" ht="13.5" customHeight="1">
      <c r="B27" s="464" t="s">
        <v>92</v>
      </c>
      <c r="C27" s="464" t="s">
        <v>92</v>
      </c>
      <c r="D27" s="465">
        <v>1.4324022401293839</v>
      </c>
      <c r="E27" s="465">
        <v>1.3819392214962953</v>
      </c>
      <c r="F27" s="465">
        <v>1.3364296341462696</v>
      </c>
      <c r="G27" s="465">
        <v>1.175750449299289</v>
      </c>
      <c r="H27" s="465">
        <v>1.2985275413502722</v>
      </c>
      <c r="I27" s="465">
        <v>1.6740062605474195</v>
      </c>
      <c r="J27" s="465">
        <v>-6.4005851825986451</v>
      </c>
      <c r="K27" s="465">
        <v>-5.6362562343511913</v>
      </c>
      <c r="L27" s="465">
        <v>-3.8489319609271759</v>
      </c>
      <c r="M27" s="465">
        <v>0.37288420273509776</v>
      </c>
      <c r="N27" s="465">
        <v>0.83303390386867149</v>
      </c>
      <c r="O27" s="465">
        <v>1.8171679275645343</v>
      </c>
      <c r="P27" s="465">
        <v>2.1909532365478568</v>
      </c>
      <c r="Q27" s="465">
        <v>2.7002634125590732</v>
      </c>
      <c r="R27" s="465">
        <v>3.185547781794356</v>
      </c>
    </row>
    <row r="28" spans="2:18" ht="13.5" customHeight="1">
      <c r="B28" s="464" t="s">
        <v>96</v>
      </c>
      <c r="C28" s="464" t="s">
        <v>96</v>
      </c>
      <c r="D28" s="465">
        <v>-4.5064378923272841</v>
      </c>
      <c r="E28" s="465">
        <v>-2.6314586259117481</v>
      </c>
      <c r="F28" s="465">
        <v>-2.5315753449067042</v>
      </c>
      <c r="G28" s="465">
        <v>-2.1636926770968752</v>
      </c>
      <c r="H28" s="465">
        <v>-1.6780802906634047</v>
      </c>
      <c r="I28" s="465">
        <v>-2.364087168757592</v>
      </c>
      <c r="J28" s="465">
        <v>-8.4234988936756245</v>
      </c>
      <c r="K28" s="465">
        <v>-5.5881246344738509</v>
      </c>
      <c r="L28" s="465">
        <v>-7.4726327232906371</v>
      </c>
      <c r="M28" s="465">
        <v>-6.249612269792201</v>
      </c>
      <c r="N28" s="465">
        <v>-3.8486338261800834</v>
      </c>
      <c r="O28" s="465">
        <v>-2.7239645708413422</v>
      </c>
      <c r="P28" s="465">
        <v>-2.8853816898266365</v>
      </c>
      <c r="Q28" s="465">
        <v>-3.051988403486384</v>
      </c>
      <c r="R28" s="465">
        <v>-3.2228240164872961</v>
      </c>
    </row>
    <row r="29" spans="2:18" ht="13.5" customHeight="1">
      <c r="B29" s="464" t="s">
        <v>283</v>
      </c>
      <c r="C29" s="464" t="s">
        <v>283</v>
      </c>
      <c r="D29" s="465">
        <v>0.17136328956996766</v>
      </c>
      <c r="E29" s="465">
        <v>0.19034307303541018</v>
      </c>
      <c r="F29" s="465">
        <v>1.3586629558384644</v>
      </c>
      <c r="G29" s="465">
        <v>1.8436136876548117</v>
      </c>
      <c r="H29" s="465">
        <v>2.1481628310929475</v>
      </c>
      <c r="I29" s="465">
        <v>-0.14391982264913641</v>
      </c>
      <c r="J29" s="465">
        <v>-2.7127852580341316</v>
      </c>
      <c r="K29" s="465">
        <v>-0.42784778779451049</v>
      </c>
      <c r="L29" s="465">
        <v>-1.1645958536603536</v>
      </c>
      <c r="M29" s="465">
        <v>-0.18868342645043079</v>
      </c>
      <c r="N29" s="465">
        <v>-0.31260185639777954</v>
      </c>
      <c r="O29" s="465">
        <v>-0.17813690460582624</v>
      </c>
      <c r="P29" s="465">
        <v>-0.11237974875794707</v>
      </c>
      <c r="Q29" s="465">
        <v>-6.7590962943133159E-2</v>
      </c>
      <c r="R29" s="465">
        <v>-2.8893769539646334E-2</v>
      </c>
    </row>
    <row r="30" spans="2:18" ht="13.5" customHeight="1">
      <c r="B30" s="464" t="s">
        <v>442</v>
      </c>
      <c r="C30" s="464" t="s">
        <v>442</v>
      </c>
      <c r="D30" s="465">
        <v>-0.19763833971669914</v>
      </c>
      <c r="E30" s="465">
        <v>0.25292525156239859</v>
      </c>
      <c r="F30" s="465">
        <v>0.82127905216248553</v>
      </c>
      <c r="G30" s="465">
        <v>0.27921128837443909</v>
      </c>
      <c r="H30" s="465">
        <v>0.20770747018295296</v>
      </c>
      <c r="I30" s="465">
        <v>0.47706061034560449</v>
      </c>
      <c r="J30" s="465">
        <v>-2.8438409377159997</v>
      </c>
      <c r="K30" s="465">
        <v>-4.6702187910015045</v>
      </c>
      <c r="L30" s="465">
        <v>-3.1302268278994885</v>
      </c>
      <c r="M30" s="465">
        <v>-4.1553594635785505</v>
      </c>
      <c r="N30" s="465">
        <v>-1.2579968970262807</v>
      </c>
      <c r="O30" s="465">
        <v>-2.0979434745139822</v>
      </c>
      <c r="P30" s="465">
        <v>-0.51084374689927936</v>
      </c>
      <c r="Q30" s="465">
        <v>0.22238198207301033</v>
      </c>
      <c r="R30" s="465">
        <v>0.29380176492447313</v>
      </c>
    </row>
    <row r="31" spans="2:18" ht="13.5" customHeight="1">
      <c r="B31" s="464" t="s">
        <v>433</v>
      </c>
      <c r="C31" s="464" t="s">
        <v>433</v>
      </c>
      <c r="D31" s="465">
        <v>0.98460415567516746</v>
      </c>
      <c r="E31" s="465">
        <v>1.297793320248382</v>
      </c>
      <c r="F31" s="465">
        <v>1.6139666082967556</v>
      </c>
      <c r="G31" s="465">
        <v>1.6304880039170881</v>
      </c>
      <c r="H31" s="465">
        <v>1.5290496361655006</v>
      </c>
      <c r="I31" s="465">
        <v>1.05980183282149</v>
      </c>
      <c r="J31" s="465">
        <v>-6.6413968394297713</v>
      </c>
      <c r="K31" s="465">
        <v>-0.74892753519998578</v>
      </c>
      <c r="L31" s="465">
        <v>-0.90941291826321868</v>
      </c>
      <c r="M31" s="465">
        <v>-4.1982794460210737</v>
      </c>
      <c r="N31" s="465">
        <v>-2.3725130680520858</v>
      </c>
      <c r="O31" s="465">
        <v>-1.3073707556451954</v>
      </c>
      <c r="P31" s="465">
        <v>-0.76719187183920734</v>
      </c>
      <c r="Q31" s="465">
        <v>-0.40084293090350465</v>
      </c>
      <c r="R31" s="465">
        <v>-0.33412837397692358</v>
      </c>
    </row>
    <row r="32" spans="2:18" ht="13.5" customHeight="1">
      <c r="B32" s="464" t="s">
        <v>440</v>
      </c>
      <c r="C32" s="464" t="s">
        <v>440</v>
      </c>
      <c r="D32" s="465">
        <v>1.0867655378412977</v>
      </c>
      <c r="E32" s="465">
        <v>1.062197095067821</v>
      </c>
      <c r="F32" s="465">
        <v>1.6472085824081981</v>
      </c>
      <c r="G32" s="465">
        <v>1.1450365144201013</v>
      </c>
      <c r="H32" s="465">
        <v>2.7687704170908098</v>
      </c>
      <c r="I32" s="465">
        <v>2.0199330807696194</v>
      </c>
      <c r="J32" s="465">
        <v>-3.6593316857283549</v>
      </c>
      <c r="K32" s="465">
        <v>0.52291998063489875</v>
      </c>
      <c r="L32" s="465">
        <v>-0.48981825313342398</v>
      </c>
      <c r="M32" s="465">
        <v>-3.2296962678618502</v>
      </c>
      <c r="N32" s="465">
        <v>-2.1995852470015853</v>
      </c>
      <c r="O32" s="465">
        <v>-1.4541355350565142</v>
      </c>
      <c r="P32" s="465">
        <v>-1.0630989249989213</v>
      </c>
      <c r="Q32" s="465">
        <v>-1.1625684834365984</v>
      </c>
      <c r="R32" s="465">
        <v>-1.279391241098675</v>
      </c>
    </row>
    <row r="33" spans="2:25" ht="13.5" customHeight="1">
      <c r="B33" s="464" t="s">
        <v>437</v>
      </c>
      <c r="C33" s="464" t="s">
        <v>437</v>
      </c>
      <c r="D33" s="465">
        <v>0.9381674515772469</v>
      </c>
      <c r="E33" s="465">
        <v>1.2424087524795657</v>
      </c>
      <c r="F33" s="465">
        <v>3.208384679820854</v>
      </c>
      <c r="G33" s="465">
        <v>5.0533665499471923</v>
      </c>
      <c r="H33" s="465">
        <v>3.5718884428295592</v>
      </c>
      <c r="I33" s="465">
        <v>1.8750415892683332</v>
      </c>
      <c r="J33" s="465">
        <v>-7.9951482537486367</v>
      </c>
      <c r="K33" s="465">
        <v>-6.3985143234999251</v>
      </c>
      <c r="L33" s="465">
        <v>-4.1863542460277401</v>
      </c>
      <c r="M33" s="465">
        <v>-3.6520512194079933</v>
      </c>
      <c r="N33" s="465">
        <v>-2.447088227146506</v>
      </c>
      <c r="O33" s="465">
        <v>-1.3833079264256662</v>
      </c>
      <c r="P33" s="465">
        <v>-0.91110758874058051</v>
      </c>
      <c r="Q33" s="465">
        <v>-0.9024351500705331</v>
      </c>
      <c r="R33" s="465">
        <v>-0.89357607294084429</v>
      </c>
    </row>
    <row r="34" spans="2:25" ht="13.5" customHeight="1">
      <c r="B34" s="464" t="s">
        <v>441</v>
      </c>
      <c r="C34" s="464" t="s">
        <v>448</v>
      </c>
      <c r="D34" s="465">
        <v>-0.92649949371612361</v>
      </c>
      <c r="E34" s="465">
        <v>-0.74187545651644615</v>
      </c>
      <c r="F34" s="465">
        <v>1.2388171167113957</v>
      </c>
      <c r="G34" s="465">
        <v>2.3424905100075053</v>
      </c>
      <c r="H34" s="465">
        <v>2.3518482868575314</v>
      </c>
      <c r="I34" s="465">
        <v>2.5181568282588511</v>
      </c>
      <c r="J34" s="465">
        <v>-3.0307709690783775</v>
      </c>
      <c r="K34" s="465">
        <v>-2.0629271004115113</v>
      </c>
      <c r="L34" s="465">
        <v>-0.81143329874021308</v>
      </c>
      <c r="M34" s="465">
        <v>-2.0905153248934574</v>
      </c>
      <c r="N34" s="465">
        <v>-1.6683382624553222</v>
      </c>
      <c r="O34" s="465">
        <v>-1.4716431063087065</v>
      </c>
      <c r="P34" s="465">
        <v>-1.2074311847047063</v>
      </c>
      <c r="Q34" s="465">
        <v>-1.3165573468345888</v>
      </c>
      <c r="R34" s="465">
        <v>-1.3371136510287094</v>
      </c>
    </row>
    <row r="35" spans="2:25" ht="13.5" customHeight="1">
      <c r="B35" s="464" t="s">
        <v>924</v>
      </c>
      <c r="C35" s="464" t="s">
        <v>924</v>
      </c>
      <c r="D35" s="465">
        <v>0.301147306900445</v>
      </c>
      <c r="E35" s="465">
        <v>1.0032388181294336</v>
      </c>
      <c r="F35" s="465">
        <v>1.6162653809527381</v>
      </c>
      <c r="G35" s="465">
        <v>1.9737462416058165</v>
      </c>
      <c r="H35" s="465">
        <v>1.883421264892168</v>
      </c>
      <c r="I35" s="465">
        <v>-1.8883117614132083</v>
      </c>
      <c r="J35" s="465">
        <v>-3.6866352318011928</v>
      </c>
      <c r="K35" s="465">
        <v>-2.6598293253442624</v>
      </c>
      <c r="L35" s="465">
        <v>-3.2636305369301843</v>
      </c>
      <c r="M35" s="465">
        <v>-2.5557826270217823</v>
      </c>
      <c r="N35" s="465">
        <v>-1.2971111255076415</v>
      </c>
      <c r="O35" s="465">
        <v>0.3098368184898746</v>
      </c>
      <c r="P35" s="465">
        <v>1.7043294094338473</v>
      </c>
      <c r="Q35" s="465">
        <v>2.0241226297696011</v>
      </c>
      <c r="R35" s="465">
        <v>1.7246050837451379</v>
      </c>
    </row>
    <row r="36" spans="2:25" ht="13.5" customHeight="1">
      <c r="B36" s="464" t="s">
        <v>431</v>
      </c>
      <c r="C36" s="464" t="s">
        <v>431</v>
      </c>
      <c r="D36" s="465">
        <v>6.3048406007128275</v>
      </c>
      <c r="E36" s="465">
        <v>3.4364444506918606</v>
      </c>
      <c r="F36" s="465">
        <v>1.5312729157406768</v>
      </c>
      <c r="G36" s="465">
        <v>2.5647414479779895</v>
      </c>
      <c r="H36" s="465">
        <v>5.6744136369342675</v>
      </c>
      <c r="I36" s="465">
        <v>4.4529010246498686</v>
      </c>
      <c r="J36" s="465">
        <v>-4.5843293876342415</v>
      </c>
      <c r="K36" s="465">
        <v>8.2122330475227514</v>
      </c>
      <c r="L36" s="465">
        <v>20.681519873411904</v>
      </c>
      <c r="M36" s="465">
        <v>23.575537627160418</v>
      </c>
      <c r="N36" s="465">
        <v>22.037149337771908</v>
      </c>
      <c r="O36" s="465">
        <v>20.000871893402692</v>
      </c>
      <c r="P36" s="465">
        <v>18.578458413709228</v>
      </c>
      <c r="Q36" s="465">
        <v>17.216323782461597</v>
      </c>
      <c r="R36" s="465">
        <v>15.881023336686919</v>
      </c>
    </row>
    <row r="37" spans="2:25" ht="13.5" customHeight="1">
      <c r="B37" s="464" t="s">
        <v>443</v>
      </c>
      <c r="C37" s="464" t="s">
        <v>443</v>
      </c>
      <c r="D37" s="465">
        <v>-2.9570370353248729</v>
      </c>
      <c r="E37" s="465">
        <v>-0.12470703376268411</v>
      </c>
      <c r="F37" s="465">
        <v>1.9488014894112171</v>
      </c>
      <c r="G37" s="465">
        <v>0.65221021387915412</v>
      </c>
      <c r="H37" s="465">
        <v>2.8738762536296654</v>
      </c>
      <c r="I37" s="465">
        <v>2.9330597313955424</v>
      </c>
      <c r="J37" s="465">
        <v>-3.0682514216864347</v>
      </c>
      <c r="K37" s="465">
        <v>-0.52537357776410754</v>
      </c>
      <c r="L37" s="465">
        <v>1.6818459488029295E-2</v>
      </c>
      <c r="M37" s="465">
        <v>1.0719195527806005</v>
      </c>
      <c r="N37" s="465">
        <v>0.94674729248753009</v>
      </c>
      <c r="O37" s="465">
        <v>0.9232649585363788</v>
      </c>
      <c r="P37" s="465">
        <v>1.0281802075572322</v>
      </c>
      <c r="Q37" s="465">
        <v>1.2038682880029885</v>
      </c>
      <c r="R37" s="465">
        <v>1.2635658682538848</v>
      </c>
    </row>
    <row r="38" spans="2:25">
      <c r="B38" s="464" t="s">
        <v>925</v>
      </c>
      <c r="C38" s="464" t="s">
        <v>925</v>
      </c>
      <c r="D38" s="465" t="s">
        <v>139</v>
      </c>
      <c r="E38" s="465" t="s">
        <v>139</v>
      </c>
      <c r="F38" s="465" t="s">
        <v>139</v>
      </c>
      <c r="G38" s="465" t="s">
        <v>139</v>
      </c>
      <c r="H38" s="465" t="s">
        <v>139</v>
      </c>
      <c r="I38" s="465" t="s">
        <v>139</v>
      </c>
      <c r="J38" s="465" t="s">
        <v>139</v>
      </c>
      <c r="K38" s="465" t="s">
        <v>139</v>
      </c>
      <c r="L38" s="465" t="s">
        <v>139</v>
      </c>
      <c r="M38" s="465" t="s">
        <v>139</v>
      </c>
      <c r="N38" s="465" t="s">
        <v>139</v>
      </c>
      <c r="O38" s="465" t="s">
        <v>139</v>
      </c>
      <c r="P38" s="465" t="s">
        <v>139</v>
      </c>
      <c r="Q38" s="465" t="s">
        <v>139</v>
      </c>
      <c r="R38" s="465" t="s">
        <v>139</v>
      </c>
    </row>
    <row r="39" spans="2:25">
      <c r="B39" s="464" t="s">
        <v>449</v>
      </c>
      <c r="C39" s="464" t="s">
        <v>449</v>
      </c>
      <c r="D39" s="465">
        <v>-1.4162884964212981</v>
      </c>
      <c r="E39" s="465">
        <v>-1.1770211916231934</v>
      </c>
      <c r="F39" s="465">
        <v>-1.1588000260874594</v>
      </c>
      <c r="G39" s="465">
        <v>0.23361312579795179</v>
      </c>
      <c r="H39" s="465">
        <v>0.14353316339303496</v>
      </c>
      <c r="I39" s="465">
        <v>-0.15756469364891451</v>
      </c>
      <c r="J39" s="465">
        <v>-4.3505395889468037</v>
      </c>
      <c r="K39" s="465">
        <v>-4.5516275387472982</v>
      </c>
      <c r="L39" s="465">
        <v>-2.7802599210953818</v>
      </c>
      <c r="M39" s="465">
        <v>-4.0631266336464735</v>
      </c>
      <c r="N39" s="465">
        <v>-2.8761880364291543</v>
      </c>
      <c r="O39" s="465">
        <v>-3.0521359264858594</v>
      </c>
      <c r="P39" s="465">
        <v>-2.7003902946406031</v>
      </c>
      <c r="Q39" s="465">
        <v>-2.6700068922792064</v>
      </c>
      <c r="R39" s="465">
        <v>-2.6307032263087353</v>
      </c>
    </row>
    <row r="40" spans="2:25">
      <c r="B40" s="464" t="s">
        <v>432</v>
      </c>
      <c r="C40" s="464" t="s">
        <v>432</v>
      </c>
      <c r="D40" s="465">
        <v>-2.7020635485808122</v>
      </c>
      <c r="E40" s="465">
        <v>2.5738369474293801E-4</v>
      </c>
      <c r="F40" s="465">
        <v>0.71730406422850868</v>
      </c>
      <c r="G40" s="465">
        <v>2.1226979886680941</v>
      </c>
      <c r="H40" s="465">
        <v>2.5376937547273863</v>
      </c>
      <c r="I40" s="465">
        <v>2.0641540224011603</v>
      </c>
      <c r="J40" s="465">
        <v>-6.3176430806006714</v>
      </c>
      <c r="K40" s="465">
        <v>-3.5463845648472172</v>
      </c>
      <c r="L40" s="465">
        <v>-2.330974014124811</v>
      </c>
      <c r="M40" s="465">
        <v>-3.2113072958127908</v>
      </c>
      <c r="N40" s="465">
        <v>-1.6362957434318703</v>
      </c>
      <c r="O40" s="465">
        <v>-1.2579876079730636</v>
      </c>
      <c r="P40" s="465">
        <v>-0.51091418137121269</v>
      </c>
      <c r="Q40" s="465">
        <v>-0.43696569454039519</v>
      </c>
      <c r="R40" s="465">
        <v>-0.27986828471739239</v>
      </c>
    </row>
    <row r="41" spans="2:25" ht="13.5">
      <c r="B41" s="464" t="s">
        <v>93</v>
      </c>
      <c r="C41" s="464" t="s">
        <v>94</v>
      </c>
      <c r="D41" s="465">
        <v>-3.1085368310142862</v>
      </c>
      <c r="E41" s="465">
        <v>-2.6976361943136582</v>
      </c>
      <c r="F41" s="465">
        <v>-1.8990147341217856</v>
      </c>
      <c r="G41" s="465">
        <v>-0.87131782412266068</v>
      </c>
      <c r="H41" s="465">
        <v>-0.4022896369093058</v>
      </c>
      <c r="I41" s="465">
        <v>-1.0076169417741927</v>
      </c>
      <c r="J41" s="465">
        <v>-8.0792387044953031</v>
      </c>
      <c r="K41" s="465">
        <v>-4.9021330049832539</v>
      </c>
      <c r="L41" s="465">
        <v>-2.4631636235335788</v>
      </c>
      <c r="M41" s="465">
        <v>-2.3631436327923425</v>
      </c>
      <c r="N41" s="465">
        <v>-1.2582180544384782</v>
      </c>
      <c r="O41" s="465">
        <v>-1.4354693953485664</v>
      </c>
      <c r="P41" s="465">
        <v>-1.5306684603784724</v>
      </c>
      <c r="Q41" s="465">
        <v>-1.5306684603785279</v>
      </c>
      <c r="R41" s="465">
        <v>-1.5306684603784917</v>
      </c>
    </row>
    <row r="42" spans="2:25">
      <c r="B42" s="464" t="s">
        <v>422</v>
      </c>
      <c r="C42" s="464" t="s">
        <v>422</v>
      </c>
      <c r="D42" s="465">
        <v>-1.4105887450441177</v>
      </c>
      <c r="E42" s="465">
        <v>0.18246813145028601</v>
      </c>
      <c r="F42" s="465">
        <v>1.1288708958102447</v>
      </c>
      <c r="G42" s="465">
        <v>1.5251798125616474</v>
      </c>
      <c r="H42" s="465">
        <v>0.92177256371075067</v>
      </c>
      <c r="I42" s="465">
        <v>0.66305992590728136</v>
      </c>
      <c r="J42" s="465">
        <v>-2.7143985021051744</v>
      </c>
      <c r="K42" s="465">
        <v>1.3145271729976345E-2</v>
      </c>
      <c r="L42" s="465">
        <v>1.0537721505338695</v>
      </c>
      <c r="M42" s="465">
        <v>0.40043206403709813</v>
      </c>
      <c r="N42" s="465">
        <v>4.7595844348100685E-2</v>
      </c>
      <c r="O42" s="465">
        <v>0.39698675658566246</v>
      </c>
      <c r="P42" s="465">
        <v>0.59621822638379973</v>
      </c>
      <c r="Q42" s="465">
        <v>0.6378626739578297</v>
      </c>
      <c r="R42" s="465">
        <v>0.61494771069877197</v>
      </c>
    </row>
    <row r="43" spans="2:25">
      <c r="B43" s="464" t="s">
        <v>926</v>
      </c>
      <c r="C43" s="464" t="s">
        <v>926</v>
      </c>
      <c r="D43" s="465">
        <v>-9.3257532167327073E-3</v>
      </c>
      <c r="E43" s="465">
        <v>0.77800412722423085</v>
      </c>
      <c r="F43" s="465">
        <v>0.41485750298741664</v>
      </c>
      <c r="G43" s="465">
        <v>1.2748317203650079</v>
      </c>
      <c r="H43" s="465">
        <v>1.3792950249915226</v>
      </c>
      <c r="I43" s="465">
        <v>1.3939036996874181</v>
      </c>
      <c r="J43" s="465">
        <v>-2.9569043944125104</v>
      </c>
      <c r="K43" s="465">
        <v>-0.39885145867407412</v>
      </c>
      <c r="L43" s="465">
        <v>0.32470746566146608</v>
      </c>
      <c r="M43" s="465">
        <v>0.45875425198398856</v>
      </c>
      <c r="N43" s="465">
        <v>0.27089059395139881</v>
      </c>
      <c r="O43" s="465">
        <v>0.22925876233143092</v>
      </c>
      <c r="P43" s="465">
        <v>0.14670884178739987</v>
      </c>
      <c r="Q43" s="465">
        <v>0.13737547400054861</v>
      </c>
      <c r="R43" s="465">
        <v>0.12651796097527143</v>
      </c>
    </row>
    <row r="44" spans="2:25">
      <c r="B44" s="464" t="s">
        <v>97</v>
      </c>
      <c r="C44" s="464" t="s">
        <v>97</v>
      </c>
      <c r="D44" s="465">
        <v>-3.7333579554086347</v>
      </c>
      <c r="E44" s="465">
        <v>-3.0742874276808201</v>
      </c>
      <c r="F44" s="465">
        <v>-1.7562733156585699</v>
      </c>
      <c r="G44" s="465">
        <v>-0.58963802536968679</v>
      </c>
      <c r="H44" s="465">
        <v>-0.5313779022068128</v>
      </c>
      <c r="I44" s="465">
        <v>-0.85536297304976716</v>
      </c>
      <c r="J44" s="465">
        <v>-11.954859560654798</v>
      </c>
      <c r="K44" s="465">
        <v>-5.9947919466278163</v>
      </c>
      <c r="L44" s="465">
        <v>-2.7383118355089486</v>
      </c>
      <c r="M44" s="465">
        <v>-3.2870190498849419</v>
      </c>
      <c r="N44" s="465">
        <v>-2.5410076410289415</v>
      </c>
      <c r="O44" s="465">
        <v>-2.1832386167544557</v>
      </c>
      <c r="P44" s="465">
        <v>-2.0272698836446592</v>
      </c>
      <c r="Q44" s="465">
        <v>-1.9867394355477364</v>
      </c>
      <c r="R44" s="465">
        <v>-1.9012440703812721</v>
      </c>
    </row>
    <row r="45" spans="2:25" ht="13.5">
      <c r="B45" s="466" t="s">
        <v>98</v>
      </c>
      <c r="C45" s="466" t="s">
        <v>99</v>
      </c>
      <c r="D45" s="467">
        <v>-2.0803359414951275</v>
      </c>
      <c r="E45" s="467">
        <v>-1.6897538040291606</v>
      </c>
      <c r="F45" s="467">
        <v>-2.38402041176565</v>
      </c>
      <c r="G45" s="467">
        <v>-2.7812818478899848</v>
      </c>
      <c r="H45" s="467">
        <v>-3.088314828636237</v>
      </c>
      <c r="I45" s="467">
        <v>-3.4687794508663083</v>
      </c>
      <c r="J45" s="467">
        <v>-11.945485495324174</v>
      </c>
      <c r="K45" s="467">
        <v>-9.3379455137931142</v>
      </c>
      <c r="L45" s="467">
        <v>-3.4138999748922454</v>
      </c>
      <c r="M45" s="467">
        <v>-3.8313254448665277</v>
      </c>
      <c r="N45" s="467">
        <v>-4.0649152010611607</v>
      </c>
      <c r="O45" s="467">
        <v>-4.2585999158719039</v>
      </c>
      <c r="P45" s="467">
        <v>-3.9299499207392867</v>
      </c>
      <c r="Q45" s="467">
        <v>-3.5835311156956511</v>
      </c>
      <c r="R45" s="467">
        <v>-3.6208789991758019</v>
      </c>
      <c r="T45" s="471"/>
      <c r="U45" s="472"/>
      <c r="V45" s="472"/>
      <c r="W45" s="472"/>
      <c r="X45" s="472"/>
      <c r="Y45" s="472"/>
    </row>
    <row r="46" spans="2:25" ht="6" customHeight="1">
      <c r="B46" s="473"/>
      <c r="C46" s="473"/>
      <c r="D46" s="465"/>
      <c r="E46" s="465"/>
      <c r="F46" s="465"/>
      <c r="G46" s="465"/>
      <c r="H46" s="465"/>
      <c r="I46" s="465"/>
      <c r="J46" s="465"/>
      <c r="K46" s="465"/>
      <c r="L46" s="465"/>
      <c r="M46" s="465"/>
      <c r="N46" s="465"/>
      <c r="O46" s="465"/>
      <c r="P46" s="465"/>
      <c r="Q46" s="465"/>
      <c r="R46" s="465"/>
      <c r="T46" s="472"/>
      <c r="U46" s="472"/>
      <c r="V46" s="472"/>
      <c r="W46" s="472"/>
      <c r="X46" s="472"/>
      <c r="Y46" s="472"/>
    </row>
    <row r="47" spans="2:25" ht="10.5" customHeight="1">
      <c r="B47" s="613" t="s">
        <v>927</v>
      </c>
      <c r="C47" s="613"/>
      <c r="D47" s="613"/>
      <c r="E47" s="613"/>
      <c r="F47" s="613"/>
      <c r="G47" s="613"/>
      <c r="H47" s="613"/>
      <c r="I47" s="613"/>
      <c r="J47" s="613"/>
      <c r="K47" s="613"/>
      <c r="L47" s="613"/>
      <c r="M47" s="613"/>
      <c r="N47" s="613"/>
      <c r="O47" s="613"/>
      <c r="P47" s="613"/>
      <c r="Q47" s="613"/>
      <c r="R47" s="613"/>
    </row>
    <row r="48" spans="2:25">
      <c r="B48" s="615" t="s">
        <v>932</v>
      </c>
      <c r="C48" s="615"/>
      <c r="D48" s="615"/>
      <c r="E48" s="615"/>
      <c r="F48" s="615"/>
      <c r="G48" s="615"/>
      <c r="H48" s="615"/>
      <c r="I48" s="615"/>
      <c r="J48" s="615"/>
      <c r="K48" s="615"/>
      <c r="L48" s="615"/>
      <c r="M48" s="615"/>
      <c r="N48" s="615"/>
      <c r="O48" s="615"/>
      <c r="P48" s="615"/>
      <c r="Q48" s="615"/>
      <c r="R48" s="469"/>
    </row>
    <row r="49" spans="2:22" ht="12" customHeight="1">
      <c r="B49" s="474" t="s">
        <v>929</v>
      </c>
      <c r="C49" s="475"/>
      <c r="D49" s="475"/>
      <c r="E49" s="475"/>
      <c r="F49" s="475"/>
      <c r="G49" s="475"/>
      <c r="H49" s="475"/>
      <c r="I49" s="475"/>
      <c r="J49" s="475"/>
      <c r="K49" s="475"/>
      <c r="L49" s="475"/>
      <c r="M49" s="475"/>
      <c r="N49" s="475"/>
      <c r="O49" s="475"/>
      <c r="P49" s="475"/>
      <c r="Q49" s="475"/>
      <c r="R49" s="475"/>
      <c r="T49" s="476" t="s">
        <v>931</v>
      </c>
      <c r="U49" s="476"/>
      <c r="V49" s="476"/>
    </row>
    <row r="50" spans="2:22" ht="50.45" customHeight="1">
      <c r="B50" s="614" t="s">
        <v>930</v>
      </c>
      <c r="C50" s="614"/>
      <c r="D50" s="614"/>
      <c r="E50" s="614"/>
      <c r="F50" s="614"/>
      <c r="G50" s="614"/>
      <c r="H50" s="614"/>
      <c r="I50" s="614"/>
      <c r="J50" s="614"/>
      <c r="K50" s="614"/>
      <c r="L50" s="614"/>
      <c r="M50" s="614"/>
      <c r="N50" s="614"/>
      <c r="O50" s="614"/>
      <c r="P50" s="614"/>
      <c r="Q50" s="614"/>
      <c r="R50" s="614"/>
    </row>
    <row r="51" spans="2:22" ht="12" customHeight="1">
      <c r="B51" s="475"/>
      <c r="C51" s="475"/>
      <c r="D51" s="475"/>
      <c r="E51" s="475"/>
      <c r="F51" s="475"/>
      <c r="G51" s="475"/>
      <c r="H51" s="475"/>
      <c r="I51" s="475"/>
      <c r="J51" s="475"/>
      <c r="K51" s="475"/>
      <c r="L51" s="475"/>
      <c r="M51" s="475"/>
      <c r="N51" s="475"/>
      <c r="O51" s="475"/>
      <c r="P51" s="475"/>
      <c r="Q51" s="475"/>
      <c r="R51" s="475"/>
    </row>
    <row r="52" spans="2:22" ht="12" customHeight="1">
      <c r="B52" s="475"/>
      <c r="C52" s="475"/>
      <c r="D52" s="475"/>
      <c r="E52" s="475"/>
      <c r="F52" s="475"/>
      <c r="G52" s="475"/>
      <c r="H52" s="475"/>
      <c r="I52" s="475"/>
      <c r="J52" s="475"/>
      <c r="K52" s="475"/>
      <c r="L52" s="475"/>
      <c r="M52" s="475"/>
      <c r="N52" s="475"/>
      <c r="O52" s="475"/>
      <c r="P52" s="475"/>
      <c r="Q52" s="475"/>
      <c r="R52" s="475"/>
    </row>
    <row r="53" spans="2:22">
      <c r="B53" s="464"/>
      <c r="C53" s="464"/>
      <c r="D53" s="469"/>
      <c r="E53" s="469"/>
      <c r="F53" s="469"/>
      <c r="G53" s="469"/>
      <c r="H53" s="469"/>
      <c r="I53" s="469"/>
      <c r="J53" s="469"/>
      <c r="K53" s="469"/>
      <c r="L53" s="469"/>
      <c r="M53" s="469"/>
      <c r="N53" s="469"/>
      <c r="O53" s="469"/>
      <c r="P53" s="469"/>
      <c r="Q53" s="469"/>
      <c r="R53" s="469"/>
    </row>
    <row r="54" spans="2:22">
      <c r="B54" s="464"/>
      <c r="C54" s="464"/>
      <c r="D54" s="469"/>
      <c r="E54" s="469"/>
      <c r="F54" s="469"/>
      <c r="G54" s="469"/>
      <c r="H54" s="469"/>
      <c r="I54" s="469"/>
      <c r="J54" s="469"/>
      <c r="K54" s="469"/>
      <c r="L54" s="469"/>
      <c r="M54" s="469"/>
      <c r="N54" s="469"/>
      <c r="O54" s="469"/>
      <c r="P54" s="469"/>
      <c r="Q54" s="469"/>
      <c r="R54" s="469"/>
    </row>
    <row r="55" spans="2:22">
      <c r="B55" s="464"/>
      <c r="C55" s="464"/>
      <c r="D55" s="469"/>
      <c r="E55" s="469"/>
      <c r="F55" s="469"/>
      <c r="G55" s="469"/>
      <c r="H55" s="469"/>
      <c r="I55" s="469"/>
      <c r="J55" s="469"/>
      <c r="K55" s="469"/>
      <c r="L55" s="469"/>
      <c r="M55" s="469"/>
      <c r="N55" s="469"/>
      <c r="O55" s="469"/>
      <c r="P55" s="469"/>
      <c r="Q55" s="469"/>
      <c r="R55" s="469"/>
    </row>
    <row r="56" spans="2:22">
      <c r="B56" s="464"/>
      <c r="C56" s="464"/>
      <c r="D56" s="469"/>
      <c r="E56" s="469"/>
      <c r="F56" s="469"/>
      <c r="G56" s="469"/>
      <c r="H56" s="469"/>
      <c r="I56" s="469"/>
      <c r="J56" s="469"/>
      <c r="K56" s="469"/>
      <c r="L56" s="469"/>
      <c r="M56" s="469"/>
      <c r="N56" s="469"/>
      <c r="O56" s="469"/>
      <c r="P56" s="469"/>
      <c r="Q56" s="469"/>
      <c r="R56" s="469"/>
    </row>
    <row r="57" spans="2:22">
      <c r="B57" s="464"/>
      <c r="C57" s="464"/>
      <c r="D57" s="469"/>
      <c r="E57" s="469"/>
      <c r="F57" s="469"/>
      <c r="G57" s="469"/>
      <c r="H57" s="469"/>
      <c r="I57" s="469"/>
      <c r="J57" s="469"/>
      <c r="K57" s="469"/>
      <c r="L57" s="469"/>
      <c r="M57" s="469"/>
      <c r="N57" s="469"/>
      <c r="O57" s="469"/>
      <c r="P57" s="469"/>
      <c r="Q57" s="469"/>
      <c r="R57" s="469"/>
    </row>
    <row r="58" spans="2:22">
      <c r="B58" s="464"/>
      <c r="C58" s="464"/>
      <c r="D58" s="469"/>
      <c r="E58" s="469"/>
      <c r="F58" s="469"/>
      <c r="G58" s="469"/>
      <c r="H58" s="469"/>
      <c r="I58" s="469"/>
      <c r="J58" s="469"/>
      <c r="K58" s="469"/>
      <c r="L58" s="469"/>
      <c r="M58" s="469"/>
      <c r="N58" s="469"/>
      <c r="O58" s="469"/>
      <c r="P58" s="469"/>
      <c r="Q58" s="469"/>
      <c r="R58" s="469"/>
    </row>
    <row r="59" spans="2:22">
      <c r="B59" s="464"/>
      <c r="C59" s="464"/>
      <c r="D59" s="469"/>
      <c r="E59" s="469"/>
      <c r="F59" s="469"/>
      <c r="G59" s="469"/>
      <c r="H59" s="469"/>
      <c r="I59" s="469"/>
      <c r="J59" s="469"/>
      <c r="K59" s="469"/>
      <c r="L59" s="469"/>
      <c r="M59" s="469"/>
      <c r="N59" s="469"/>
      <c r="O59" s="469"/>
      <c r="P59" s="469"/>
      <c r="Q59" s="469"/>
      <c r="R59" s="469"/>
    </row>
    <row r="60" spans="2:22">
      <c r="B60" s="464"/>
      <c r="C60" s="464"/>
      <c r="D60" s="469"/>
      <c r="E60" s="469"/>
      <c r="F60" s="469"/>
      <c r="G60" s="469"/>
      <c r="H60" s="469"/>
      <c r="I60" s="469"/>
      <c r="J60" s="469"/>
      <c r="K60" s="469"/>
      <c r="L60" s="469"/>
      <c r="M60" s="469"/>
      <c r="N60" s="469"/>
      <c r="O60" s="469"/>
      <c r="P60" s="469"/>
      <c r="Q60" s="469"/>
      <c r="R60" s="469"/>
    </row>
    <row r="61" spans="2:22">
      <c r="B61" s="464"/>
      <c r="C61" s="464"/>
      <c r="D61" s="469"/>
      <c r="E61" s="469"/>
      <c r="F61" s="469"/>
      <c r="G61" s="469"/>
      <c r="H61" s="469"/>
      <c r="I61" s="469"/>
      <c r="J61" s="469"/>
      <c r="K61" s="469"/>
      <c r="L61" s="469"/>
      <c r="M61" s="469"/>
      <c r="N61" s="469"/>
      <c r="O61" s="469"/>
      <c r="P61" s="469"/>
      <c r="Q61" s="469"/>
      <c r="R61" s="469"/>
    </row>
    <row r="62" spans="2:22">
      <c r="B62" s="464"/>
      <c r="C62" s="464"/>
      <c r="D62" s="469"/>
      <c r="E62" s="469"/>
      <c r="F62" s="469"/>
      <c r="G62" s="469"/>
      <c r="H62" s="469"/>
      <c r="I62" s="469"/>
      <c r="J62" s="469"/>
      <c r="K62" s="469"/>
      <c r="L62" s="469"/>
      <c r="M62" s="469"/>
      <c r="N62" s="469"/>
      <c r="O62" s="469"/>
      <c r="P62" s="469"/>
      <c r="Q62" s="469"/>
      <c r="R62" s="469"/>
    </row>
    <row r="63" spans="2:22">
      <c r="B63" s="464"/>
      <c r="C63" s="464"/>
      <c r="D63" s="469"/>
      <c r="E63" s="469"/>
      <c r="F63" s="469"/>
      <c r="G63" s="469"/>
      <c r="H63" s="469"/>
      <c r="I63" s="469"/>
      <c r="J63" s="469"/>
      <c r="K63" s="469"/>
      <c r="L63" s="469"/>
      <c r="M63" s="469"/>
      <c r="N63" s="469"/>
      <c r="O63" s="469"/>
      <c r="P63" s="469"/>
      <c r="Q63" s="469"/>
      <c r="R63" s="469"/>
    </row>
    <row r="64" spans="2:22">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sheetData>
  <mergeCells count="4">
    <mergeCell ref="B2:N2"/>
    <mergeCell ref="B47:R47"/>
    <mergeCell ref="B48:Q48"/>
    <mergeCell ref="B50:R50"/>
  </mergeCells>
  <conditionalFormatting sqref="B9:R45">
    <cfRule type="expression" dxfId="42" priority="1">
      <formula>MOD(ROW(),2)=0</formula>
    </cfRule>
  </conditionalFormatting>
  <pageMargins left="0.7" right="0.7" top="0.75" bottom="0.75" header="0.3" footer="0.3"/>
  <pageSetup scale="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0556B-ED86-4524-A422-F1323F6C9555}">
  <sheetPr codeName="Sheet6">
    <pageSetUpPr fitToPage="1"/>
  </sheetPr>
  <dimension ref="B2:S80"/>
  <sheetViews>
    <sheetView zoomScale="109" zoomScaleNormal="145" workbookViewId="0">
      <pane xSplit="3" ySplit="4" topLeftCell="D23"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8.85546875" style="452" customWidth="1" collapsed="1"/>
    <col min="5" max="18" width="8.85546875" style="452" customWidth="1"/>
    <col min="19" max="16384" width="9.140625" style="451"/>
  </cols>
  <sheetData>
    <row r="2" spans="2:18" ht="15.75" customHeight="1">
      <c r="B2" s="612" t="str">
        <f>"Table A3. Advanced Economies: General Government Cyclically Adjusted Balance, "&amp;$D$4&amp;"–"&amp;RIGHT($R$4,2)</f>
        <v>Table A3. Advanced Economies: General Government Cyclically Adjusted Balance, 2014–28</v>
      </c>
      <c r="C2" s="612"/>
      <c r="D2" s="612"/>
      <c r="E2" s="612"/>
      <c r="F2" s="612"/>
      <c r="G2" s="612"/>
      <c r="H2" s="612"/>
      <c r="I2" s="612"/>
      <c r="J2" s="612"/>
      <c r="K2" s="612"/>
      <c r="L2" s="612"/>
      <c r="M2" s="612"/>
      <c r="N2" s="612"/>
      <c r="O2" s="612"/>
      <c r="P2" s="612"/>
      <c r="Q2" s="612"/>
      <c r="R2" s="612"/>
    </row>
    <row r="3" spans="2:18" ht="15.75">
      <c r="B3" s="477" t="s">
        <v>933</v>
      </c>
      <c r="C3" s="455"/>
      <c r="D3" s="455"/>
      <c r="E3" s="455"/>
      <c r="F3" s="455"/>
      <c r="G3" s="455"/>
      <c r="H3" s="455"/>
      <c r="I3" s="455"/>
      <c r="J3" s="455"/>
      <c r="K3" s="455"/>
      <c r="L3" s="455"/>
      <c r="M3" s="455"/>
      <c r="N3" s="455"/>
      <c r="O3" s="455"/>
      <c r="P3" s="455"/>
      <c r="Q3" s="455"/>
      <c r="R3" s="478"/>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c r="B5" s="459" t="s">
        <v>196</v>
      </c>
      <c r="C5" s="460" t="s">
        <v>84</v>
      </c>
      <c r="D5" s="461">
        <v>-2.1562639645871648</v>
      </c>
      <c r="E5" s="461">
        <v>-1.906347519142374</v>
      </c>
      <c r="F5" s="461">
        <v>-2.1840599875609796</v>
      </c>
      <c r="G5" s="461">
        <v>-2.3163050170946948</v>
      </c>
      <c r="H5" s="461">
        <v>-2.5107919019831888</v>
      </c>
      <c r="I5" s="461">
        <v>-3.2239261796452436</v>
      </c>
      <c r="J5" s="461">
        <v>-7.8259684235780762</v>
      </c>
      <c r="K5" s="461">
        <v>-6.896163675309789</v>
      </c>
      <c r="L5" s="461">
        <v>-4.8669751021556111</v>
      </c>
      <c r="M5" s="461">
        <v>-4.7908050963477216</v>
      </c>
      <c r="N5" s="461">
        <v>-4.3183631507946005</v>
      </c>
      <c r="O5" s="461">
        <v>-4.2175144861785832</v>
      </c>
      <c r="P5" s="461">
        <v>-4.0975622620792338</v>
      </c>
      <c r="Q5" s="461">
        <v>-3.9955307023451456</v>
      </c>
      <c r="R5" s="461">
        <v>-4.1209439104543177</v>
      </c>
    </row>
    <row r="6" spans="2:18">
      <c r="B6" s="462" t="s">
        <v>88</v>
      </c>
      <c r="C6" s="460" t="s">
        <v>88</v>
      </c>
      <c r="D6" s="461">
        <v>-0.8998133837270984</v>
      </c>
      <c r="E6" s="461">
        <v>-0.63115463041916597</v>
      </c>
      <c r="F6" s="461">
        <v>-0.52827065848488552</v>
      </c>
      <c r="G6" s="461">
        <v>-0.60072221209813681</v>
      </c>
      <c r="H6" s="461">
        <v>-0.37690656403464234</v>
      </c>
      <c r="I6" s="461">
        <v>-0.75759042753948991</v>
      </c>
      <c r="J6" s="461">
        <v>-4.3717128827668938</v>
      </c>
      <c r="K6" s="461">
        <v>-4.170519905445877</v>
      </c>
      <c r="L6" s="461">
        <v>-3.9120553192916629</v>
      </c>
      <c r="M6" s="461">
        <v>-3.4976353008755594</v>
      </c>
      <c r="N6" s="461">
        <v>-2.5502319993452423</v>
      </c>
      <c r="O6" s="461">
        <v>-2.2145217988167385</v>
      </c>
      <c r="P6" s="461">
        <v>-2.1319490539473001</v>
      </c>
      <c r="Q6" s="461">
        <v>-2.0120008926386452</v>
      </c>
      <c r="R6" s="461">
        <v>-1.9678473064185915</v>
      </c>
    </row>
    <row r="7" spans="2:18">
      <c r="B7" s="462" t="s">
        <v>914</v>
      </c>
      <c r="C7" s="462" t="s">
        <v>915</v>
      </c>
      <c r="D7" s="461">
        <v>-2.5167750890481164</v>
      </c>
      <c r="E7" s="461">
        <v>-2.1873599864675568</v>
      </c>
      <c r="F7" s="461">
        <v>-2.7008371550781622</v>
      </c>
      <c r="G7" s="461">
        <v>-3.0103121970910447</v>
      </c>
      <c r="H7" s="461">
        <v>-3.2305808009278554</v>
      </c>
      <c r="I7" s="461">
        <v>-3.8869953473653589</v>
      </c>
      <c r="J7" s="461">
        <v>-8.9399200681075683</v>
      </c>
      <c r="K7" s="461">
        <v>-8.2326126828776385</v>
      </c>
      <c r="L7" s="461">
        <v>-5.6617464803073743</v>
      </c>
      <c r="M7" s="461">
        <v>-5.6492978984829856</v>
      </c>
      <c r="N7" s="461">
        <v>-5.1324161755945479</v>
      </c>
      <c r="O7" s="461">
        <v>-5.0113607836746663</v>
      </c>
      <c r="P7" s="461">
        <v>-4.8818331791207195</v>
      </c>
      <c r="Q7" s="461">
        <v>-4.7546359441852042</v>
      </c>
      <c r="R7" s="461">
        <v>-4.929214531992093</v>
      </c>
    </row>
    <row r="8" spans="2:18">
      <c r="B8" s="462" t="s">
        <v>916</v>
      </c>
      <c r="C8" s="463" t="s">
        <v>86</v>
      </c>
      <c r="D8" s="461">
        <v>-2.4018925478435307</v>
      </c>
      <c r="E8" s="461">
        <v>-2.0847328057741912</v>
      </c>
      <c r="F8" s="461">
        <v>-2.5090371372230513</v>
      </c>
      <c r="G8" s="461">
        <v>-2.7439274792553152</v>
      </c>
      <c r="H8" s="461">
        <v>-2.9173274198670152</v>
      </c>
      <c r="I8" s="461">
        <v>-3.7178818228679829</v>
      </c>
      <c r="J8" s="461">
        <v>-8.6168016220011996</v>
      </c>
      <c r="K8" s="461">
        <v>-7.8259678069473297</v>
      </c>
      <c r="L8" s="461">
        <v>-5.4129223819527477</v>
      </c>
      <c r="M8" s="461">
        <v>-5.3616940011097691</v>
      </c>
      <c r="N8" s="461">
        <v>-4.8788619947529099</v>
      </c>
      <c r="O8" s="461">
        <v>-4.7527225852254906</v>
      </c>
      <c r="P8" s="461">
        <v>-4.6217334490441466</v>
      </c>
      <c r="Q8" s="461">
        <v>-4.5003133309273897</v>
      </c>
      <c r="R8" s="461">
        <v>-4.6546790543279917</v>
      </c>
    </row>
    <row r="9" spans="2:18" ht="13.5" customHeight="1">
      <c r="B9" s="464" t="s">
        <v>917</v>
      </c>
      <c r="C9" s="464" t="s">
        <v>917</v>
      </c>
      <c r="D9" s="465" t="s">
        <v>139</v>
      </c>
      <c r="E9" s="465" t="s">
        <v>139</v>
      </c>
      <c r="F9" s="465" t="s">
        <v>139</v>
      </c>
      <c r="G9" s="465" t="s">
        <v>139</v>
      </c>
      <c r="H9" s="465" t="s">
        <v>139</v>
      </c>
      <c r="I9" s="465" t="s">
        <v>139</v>
      </c>
      <c r="J9" s="465" t="s">
        <v>139</v>
      </c>
      <c r="K9" s="465" t="s">
        <v>139</v>
      </c>
      <c r="L9" s="465" t="s">
        <v>139</v>
      </c>
      <c r="M9" s="465" t="s">
        <v>139</v>
      </c>
      <c r="N9" s="465" t="s">
        <v>139</v>
      </c>
      <c r="O9" s="465" t="s">
        <v>139</v>
      </c>
      <c r="P9" s="465" t="s">
        <v>139</v>
      </c>
      <c r="Q9" s="465" t="s">
        <v>139</v>
      </c>
      <c r="R9" s="465" t="s">
        <v>139</v>
      </c>
    </row>
    <row r="10" spans="2:18" ht="16.5" customHeight="1">
      <c r="B10" s="464" t="s">
        <v>934</v>
      </c>
      <c r="C10" s="464" t="s">
        <v>279</v>
      </c>
      <c r="D10" s="465">
        <v>-2.6691546593646138</v>
      </c>
      <c r="E10" s="465">
        <v>-2.4961110376160009</v>
      </c>
      <c r="F10" s="465">
        <v>-2.16407609618375</v>
      </c>
      <c r="G10" s="465">
        <v>-1.5202551061600762</v>
      </c>
      <c r="H10" s="465">
        <v>-1.085969628198898</v>
      </c>
      <c r="I10" s="465">
        <v>-3.9929465765638028</v>
      </c>
      <c r="J10" s="465">
        <v>-7.9327755274807235</v>
      </c>
      <c r="K10" s="465">
        <v>-6.0667441652260674</v>
      </c>
      <c r="L10" s="465">
        <v>-3.4629258500268238</v>
      </c>
      <c r="M10" s="465">
        <v>-3.2505305197281071</v>
      </c>
      <c r="N10" s="465">
        <v>-2.8810100939232024</v>
      </c>
      <c r="O10" s="465">
        <v>-2.517702820896857</v>
      </c>
      <c r="P10" s="465">
        <v>-2.1970434756658066</v>
      </c>
      <c r="Q10" s="465">
        <v>-2.0878830753152169</v>
      </c>
      <c r="R10" s="465">
        <v>-1.8491417547743028</v>
      </c>
    </row>
    <row r="11" spans="2:18" ht="13.5" customHeight="1">
      <c r="B11" s="464" t="s">
        <v>439</v>
      </c>
      <c r="C11" s="464" t="s">
        <v>439</v>
      </c>
      <c r="D11" s="465">
        <v>-2.1561055475973734</v>
      </c>
      <c r="E11" s="465">
        <v>-0.50963005113459858</v>
      </c>
      <c r="F11" s="465">
        <v>-1.2448487782857534</v>
      </c>
      <c r="G11" s="465">
        <v>-0.9325143837472365</v>
      </c>
      <c r="H11" s="465">
        <v>-0.83743194642833008</v>
      </c>
      <c r="I11" s="465">
        <v>-0.59810146674747167</v>
      </c>
      <c r="J11" s="465">
        <v>-4.877620628715361</v>
      </c>
      <c r="K11" s="465">
        <v>-4.7627556553678998</v>
      </c>
      <c r="L11" s="465">
        <v>-3.7310765842681879</v>
      </c>
      <c r="M11" s="465">
        <v>-2.4697178724509388</v>
      </c>
      <c r="N11" s="465">
        <v>-1.0433139790478199</v>
      </c>
      <c r="O11" s="465">
        <v>-0.77432805577994701</v>
      </c>
      <c r="P11" s="465">
        <v>-0.9060693857299944</v>
      </c>
      <c r="Q11" s="465">
        <v>-1.1806604477910423</v>
      </c>
      <c r="R11" s="465">
        <v>-1.1680116646431327</v>
      </c>
    </row>
    <row r="12" spans="2:18" ht="13.5" customHeight="1">
      <c r="B12" s="464" t="s">
        <v>444</v>
      </c>
      <c r="C12" s="464" t="s">
        <v>444</v>
      </c>
      <c r="D12" s="465">
        <v>-2.6144741281818766</v>
      </c>
      <c r="E12" s="465">
        <v>-2.332096795842852</v>
      </c>
      <c r="F12" s="465">
        <v>-2.303793396092439</v>
      </c>
      <c r="G12" s="465">
        <v>-0.79659882606979182</v>
      </c>
      <c r="H12" s="465">
        <v>-1.2369785041427888</v>
      </c>
      <c r="I12" s="465">
        <v>-2.7580131119287499</v>
      </c>
      <c r="J12" s="465">
        <v>-6.430027279848316</v>
      </c>
      <c r="K12" s="465">
        <v>-5.3723025435729035</v>
      </c>
      <c r="L12" s="465">
        <v>-4.8070778661448372</v>
      </c>
      <c r="M12" s="465">
        <v>-5.2761818271769041</v>
      </c>
      <c r="N12" s="465">
        <v>-5.5540835451787114</v>
      </c>
      <c r="O12" s="465">
        <v>-5.5192385914593896</v>
      </c>
      <c r="P12" s="465">
        <v>-5.6038635889055968</v>
      </c>
      <c r="Q12" s="465">
        <v>-5.6682400912839883</v>
      </c>
      <c r="R12" s="465">
        <v>-5.7186986098070829</v>
      </c>
    </row>
    <row r="13" spans="2:18" ht="13.5" customHeight="1">
      <c r="B13" s="464" t="s">
        <v>87</v>
      </c>
      <c r="C13" s="464" t="s">
        <v>87</v>
      </c>
      <c r="D13" s="465">
        <v>-0.21526084514454177</v>
      </c>
      <c r="E13" s="465">
        <v>-3.0380668529757819E-3</v>
      </c>
      <c r="F13" s="465">
        <v>-6.6689707471425358E-2</v>
      </c>
      <c r="G13" s="465">
        <v>-0.26347416593543321</v>
      </c>
      <c r="H13" s="465">
        <v>0.13472594912932084</v>
      </c>
      <c r="I13" s="465">
        <v>-0.16249754305268779</v>
      </c>
      <c r="J13" s="465">
        <v>-9.203877073442241</v>
      </c>
      <c r="K13" s="465">
        <v>-3.7336817986875812</v>
      </c>
      <c r="L13" s="465">
        <v>-1.0148555865834252</v>
      </c>
      <c r="M13" s="465">
        <v>-0.45507982899610744</v>
      </c>
      <c r="N13" s="465">
        <v>-0.20517193242574738</v>
      </c>
      <c r="O13" s="465">
        <v>-0.27761153685129447</v>
      </c>
      <c r="P13" s="465">
        <v>-0.15574017063075804</v>
      </c>
      <c r="Q13" s="465">
        <v>-7.7579857679685837E-2</v>
      </c>
      <c r="R13" s="465">
        <v>2.0429604508456812E-2</v>
      </c>
    </row>
    <row r="14" spans="2:18" ht="13.5" customHeight="1">
      <c r="B14" s="464" t="s">
        <v>430</v>
      </c>
      <c r="C14" s="464" t="s">
        <v>430</v>
      </c>
      <c r="D14" s="465">
        <v>-5.0634410898004907</v>
      </c>
      <c r="E14" s="465">
        <v>-3.1216445124895631</v>
      </c>
      <c r="F14" s="465">
        <v>-1.0561426068603905</v>
      </c>
      <c r="G14" s="465">
        <v>0.64968926088922752</v>
      </c>
      <c r="H14" s="465">
        <v>0.13340703795205042</v>
      </c>
      <c r="I14" s="465">
        <v>-7.1595054990276408E-2</v>
      </c>
      <c r="J14" s="465">
        <v>-5.6448816417558616</v>
      </c>
      <c r="K14" s="465">
        <v>-3.5143542612799332</v>
      </c>
      <c r="L14" s="465">
        <v>-2.1100298228904921</v>
      </c>
      <c r="M14" s="465">
        <v>-2.777801543185999</v>
      </c>
      <c r="N14" s="465">
        <v>-1.8810108974546158</v>
      </c>
      <c r="O14" s="465">
        <v>-1.2944341973782878</v>
      </c>
      <c r="P14" s="465">
        <v>-1.0850773474777717</v>
      </c>
      <c r="Q14" s="465">
        <v>-1.0471616339578544</v>
      </c>
      <c r="R14" s="465">
        <v>-1.0549912119226108</v>
      </c>
    </row>
    <row r="15" spans="2:18" ht="13.5" customHeight="1">
      <c r="B15" s="464" t="s">
        <v>421</v>
      </c>
      <c r="C15" s="464" t="s">
        <v>421</v>
      </c>
      <c r="D15" s="465">
        <v>2.2663830740100082</v>
      </c>
      <c r="E15" s="465">
        <v>2.2963917957593538</v>
      </c>
      <c r="F15" s="465">
        <v>1.2729029213710183</v>
      </c>
      <c r="G15" s="465">
        <v>1.7872467990678726</v>
      </c>
      <c r="H15" s="465">
        <v>2.6189850152461758</v>
      </c>
      <c r="I15" s="465">
        <v>0.68102489531425592</v>
      </c>
      <c r="J15" s="465">
        <v>-3.6667383054447158</v>
      </c>
      <c r="K15" s="465">
        <v>-1.1449431936478496</v>
      </c>
      <c r="L15" s="465">
        <v>1.3480588286759194</v>
      </c>
      <c r="M15" s="465">
        <v>1.3121142035209952</v>
      </c>
      <c r="N15" s="465">
        <v>1.2063776071440313</v>
      </c>
      <c r="O15" s="465">
        <v>1.1034115596130367</v>
      </c>
      <c r="P15" s="465">
        <v>0.97027869536125877</v>
      </c>
      <c r="Q15" s="465">
        <v>0.7730781621140479</v>
      </c>
      <c r="R15" s="465">
        <v>0.73826405511335769</v>
      </c>
    </row>
    <row r="16" spans="2:18" ht="13.5" customHeight="1">
      <c r="B16" s="464" t="s">
        <v>919</v>
      </c>
      <c r="C16" s="464" t="s">
        <v>919</v>
      </c>
      <c r="D16" s="465">
        <v>-0.61512780334496042</v>
      </c>
      <c r="E16" s="465">
        <v>-0.3996782498556507</v>
      </c>
      <c r="F16" s="465">
        <v>0.74521749484114963</v>
      </c>
      <c r="G16" s="465">
        <v>0.81874573601273104</v>
      </c>
      <c r="H16" s="465">
        <v>0.13112432946910124</v>
      </c>
      <c r="I16" s="465">
        <v>-0.78687789950175402</v>
      </c>
      <c r="J16" s="465">
        <v>-5.5106471744326715</v>
      </c>
      <c r="K16" s="465">
        <v>-5.4398386875791518</v>
      </c>
      <c r="L16" s="465">
        <v>-3.7602223776033394</v>
      </c>
      <c r="M16" s="465">
        <v>-3.674105790304294</v>
      </c>
      <c r="N16" s="465">
        <v>-2.4463126438656837</v>
      </c>
      <c r="O16" s="465">
        <v>-2.2643545508929988</v>
      </c>
      <c r="P16" s="465">
        <v>-2.308605242710307</v>
      </c>
      <c r="Q16" s="465">
        <v>-2.3765994354976265</v>
      </c>
      <c r="R16" s="465">
        <v>-2.4845349750985459</v>
      </c>
    </row>
    <row r="17" spans="2:18" ht="13.5" customHeight="1">
      <c r="B17" s="464" t="s">
        <v>451</v>
      </c>
      <c r="C17" s="464" t="s">
        <v>451</v>
      </c>
      <c r="D17" s="465">
        <v>2.5397473427815518</v>
      </c>
      <c r="E17" s="465">
        <v>-0.49931138144905213</v>
      </c>
      <c r="F17" s="465">
        <v>-0.39563294902407642</v>
      </c>
      <c r="G17" s="465">
        <v>0.76032211786854664</v>
      </c>
      <c r="H17" s="465">
        <v>-0.37674724528710452</v>
      </c>
      <c r="I17" s="465">
        <v>3.2330848437868487</v>
      </c>
      <c r="J17" s="465">
        <v>2.0084948526824147</v>
      </c>
      <c r="K17" s="465">
        <v>3.2281713045965881</v>
      </c>
      <c r="L17" s="465">
        <v>0.75506392327879035</v>
      </c>
      <c r="M17" s="465">
        <v>0.97622363666743239</v>
      </c>
      <c r="N17" s="465">
        <v>0.36728349307129637</v>
      </c>
      <c r="O17" s="465">
        <v>-4.3984439253787512E-2</v>
      </c>
      <c r="P17" s="465">
        <v>-0.17167263868938526</v>
      </c>
      <c r="Q17" s="465">
        <v>-0.18592330552071387</v>
      </c>
      <c r="R17" s="465">
        <v>-0.24232399591855228</v>
      </c>
    </row>
    <row r="18" spans="2:18" ht="13.5" customHeight="1">
      <c r="B18" s="464" t="s">
        <v>423</v>
      </c>
      <c r="C18" s="464" t="s">
        <v>423</v>
      </c>
      <c r="D18" s="465">
        <v>1.2494358539197192</v>
      </c>
      <c r="E18" s="465">
        <v>0.83572394681957862</v>
      </c>
      <c r="F18" s="465">
        <v>6.1015480957504385E-2</v>
      </c>
      <c r="G18" s="465">
        <v>-1.0933451056230092</v>
      </c>
      <c r="H18" s="465">
        <v>-1.1085095471978139</v>
      </c>
      <c r="I18" s="465">
        <v>-0.34406226924168964</v>
      </c>
      <c r="J18" s="465">
        <v>-4.9191192866816387</v>
      </c>
      <c r="K18" s="465">
        <v>-3.0180656055778683</v>
      </c>
      <c r="L18" s="465">
        <v>-0.60149302971247653</v>
      </c>
      <c r="M18" s="465">
        <v>-3.5416127921041105</v>
      </c>
      <c r="N18" s="465">
        <v>-2.9578736214815993</v>
      </c>
      <c r="O18" s="465">
        <v>-2.4770705745224713</v>
      </c>
      <c r="P18" s="465">
        <v>-1.9048198763183648</v>
      </c>
      <c r="Q18" s="465">
        <v>-1.5304824344800882</v>
      </c>
      <c r="R18" s="465">
        <v>-1.3999782113226216</v>
      </c>
    </row>
    <row r="19" spans="2:18" ht="13.5" customHeight="1">
      <c r="B19" s="464" t="s">
        <v>481</v>
      </c>
      <c r="C19" s="464" t="s">
        <v>481</v>
      </c>
      <c r="D19" s="465">
        <v>-0.64023387145377164</v>
      </c>
      <c r="E19" s="465">
        <v>0.14986864093380581</v>
      </c>
      <c r="F19" s="465">
        <v>-0.34537086498610764</v>
      </c>
      <c r="G19" s="465">
        <v>-0.90878684372050911</v>
      </c>
      <c r="H19" s="465">
        <v>-1.0090377931528005</v>
      </c>
      <c r="I19" s="465">
        <v>-1.2639412909797607</v>
      </c>
      <c r="J19" s="465">
        <v>-3.3461429016262283</v>
      </c>
      <c r="K19" s="465">
        <v>-2.1496960583610147</v>
      </c>
      <c r="L19" s="465">
        <v>-1.8675136811108064</v>
      </c>
      <c r="M19" s="465">
        <v>-2.2316747799122076</v>
      </c>
      <c r="N19" s="465">
        <v>-2.234138596179728</v>
      </c>
      <c r="O19" s="465">
        <v>-2.6861638027739834</v>
      </c>
      <c r="P19" s="465">
        <v>-2.6914914970919788</v>
      </c>
      <c r="Q19" s="465">
        <v>-2.5924720962078514</v>
      </c>
      <c r="R19" s="465">
        <v>-2.5835336880627011</v>
      </c>
    </row>
    <row r="20" spans="2:18" ht="13.5" customHeight="1">
      <c r="B20" s="464" t="s">
        <v>90</v>
      </c>
      <c r="C20" s="464" t="s">
        <v>90</v>
      </c>
      <c r="D20" s="465">
        <v>-2.5166276998758743</v>
      </c>
      <c r="E20" s="465">
        <v>-2.1386611605786001</v>
      </c>
      <c r="F20" s="465">
        <v>-2.0028577673386274</v>
      </c>
      <c r="G20" s="465">
        <v>-1.991681413404224</v>
      </c>
      <c r="H20" s="465">
        <v>-1.7782408517937744</v>
      </c>
      <c r="I20" s="465">
        <v>-3.0646507783158721</v>
      </c>
      <c r="J20" s="465">
        <v>-5.870110532758118</v>
      </c>
      <c r="K20" s="465">
        <v>-5.2800847113198568</v>
      </c>
      <c r="L20" s="465">
        <v>-4.4018550247095236</v>
      </c>
      <c r="M20" s="465">
        <v>-4.6339554124703923</v>
      </c>
      <c r="N20" s="465">
        <v>-4.0616759132510936</v>
      </c>
      <c r="O20" s="465">
        <v>-3.9812020842377853</v>
      </c>
      <c r="P20" s="465">
        <v>-3.9197481391416917</v>
      </c>
      <c r="Q20" s="465">
        <v>-3.8672265775141721</v>
      </c>
      <c r="R20" s="465">
        <v>-4.1169846828096306</v>
      </c>
    </row>
    <row r="21" spans="2:18" ht="13.5" customHeight="1">
      <c r="B21" s="464" t="s">
        <v>91</v>
      </c>
      <c r="C21" s="464" t="s">
        <v>91</v>
      </c>
      <c r="D21" s="465">
        <v>0.77407828050117389</v>
      </c>
      <c r="E21" s="465">
        <v>1.1560277434875816</v>
      </c>
      <c r="F21" s="465">
        <v>1.0911790235109313</v>
      </c>
      <c r="G21" s="465">
        <v>0.80857268662758897</v>
      </c>
      <c r="H21" s="465">
        <v>1.5259940178386449</v>
      </c>
      <c r="I21" s="465">
        <v>1.3144285185302373</v>
      </c>
      <c r="J21" s="465">
        <v>-2.9381919472187286</v>
      </c>
      <c r="K21" s="465">
        <v>-3.0520622994221447</v>
      </c>
      <c r="L21" s="465">
        <v>-2.8406944629254913</v>
      </c>
      <c r="M21" s="465">
        <v>-3.2213946140456757</v>
      </c>
      <c r="N21" s="465">
        <v>-1.4160560288119992</v>
      </c>
      <c r="O21" s="465">
        <v>-0.48137652842432471</v>
      </c>
      <c r="P21" s="465">
        <v>-0.63953644152026812</v>
      </c>
      <c r="Q21" s="465">
        <v>-0.52861108588050087</v>
      </c>
      <c r="R21" s="465">
        <v>-0.5313090077501218</v>
      </c>
    </row>
    <row r="22" spans="2:18" ht="13.5" customHeight="1">
      <c r="B22" s="464" t="s">
        <v>425</v>
      </c>
      <c r="C22" s="464" t="s">
        <v>425</v>
      </c>
      <c r="D22" s="465">
        <v>4.076373935964968</v>
      </c>
      <c r="E22" s="465">
        <v>4.462844134373622</v>
      </c>
      <c r="F22" s="465">
        <v>6.9743360044735319</v>
      </c>
      <c r="G22" s="465">
        <v>6.5578452719083913</v>
      </c>
      <c r="H22" s="465">
        <v>5.2469806634829963</v>
      </c>
      <c r="I22" s="465">
        <v>3.478190291625316</v>
      </c>
      <c r="J22" s="465">
        <v>-2.4129259511312005</v>
      </c>
      <c r="K22" s="465">
        <v>-4.1699652019509763</v>
      </c>
      <c r="L22" s="465">
        <v>-3.3020679820257754</v>
      </c>
      <c r="M22" s="465">
        <v>-2.7813455187958152</v>
      </c>
      <c r="N22" s="465">
        <v>-1.6122256525531908</v>
      </c>
      <c r="O22" s="465">
        <v>-1.4077405712149043</v>
      </c>
      <c r="P22" s="465">
        <v>-1.0987043667070115</v>
      </c>
      <c r="Q22" s="465">
        <v>-0.9222290319112928</v>
      </c>
      <c r="R22" s="465">
        <v>-0.70121596155546351</v>
      </c>
    </row>
    <row r="23" spans="2:18" ht="13.5" customHeight="1">
      <c r="B23" s="464" t="s">
        <v>920</v>
      </c>
      <c r="C23" s="464" t="s">
        <v>920</v>
      </c>
      <c r="D23" s="465">
        <v>3.5893306628956649</v>
      </c>
      <c r="E23" s="465">
        <v>0.67732739764036476</v>
      </c>
      <c r="F23" s="465">
        <v>4.6931708036807196</v>
      </c>
      <c r="G23" s="465">
        <v>5.4661493651100557</v>
      </c>
      <c r="H23" s="465">
        <v>2.3289012246658927</v>
      </c>
      <c r="I23" s="465">
        <v>0.33733538852390949</v>
      </c>
      <c r="J23" s="465">
        <v>-5.4817709517132034</v>
      </c>
      <c r="K23" s="465">
        <v>0.9757795629790933</v>
      </c>
      <c r="L23" s="465">
        <v>-5.2242671718559324</v>
      </c>
      <c r="M23" s="465">
        <v>-2.9106586356291664</v>
      </c>
      <c r="N23" s="465">
        <v>-0.23058338319643917</v>
      </c>
      <c r="O23" s="465">
        <v>0.69691589952755328</v>
      </c>
      <c r="P23" s="465">
        <v>0.90417330334732426</v>
      </c>
      <c r="Q23" s="465">
        <v>0.74521760212699983</v>
      </c>
      <c r="R23" s="465">
        <v>0.59757162697518607</v>
      </c>
    </row>
    <row r="24" spans="2:18" ht="13.5" customHeight="1">
      <c r="B24" s="464" t="s">
        <v>921</v>
      </c>
      <c r="C24" s="464" t="s">
        <v>921</v>
      </c>
      <c r="D24" s="465">
        <v>1.1545941503231321</v>
      </c>
      <c r="E24" s="465">
        <v>0.17952982952623819</v>
      </c>
      <c r="F24" s="465">
        <v>11.970145027457706</v>
      </c>
      <c r="G24" s="465">
        <v>0.14513642524831166</v>
      </c>
      <c r="H24" s="465">
        <v>-0.98028151512413397</v>
      </c>
      <c r="I24" s="465">
        <v>-3.3664532495856192</v>
      </c>
      <c r="J24" s="465">
        <v>-5.8621986331914311</v>
      </c>
      <c r="K24" s="465">
        <v>-6.942779729480697</v>
      </c>
      <c r="L24" s="465">
        <v>-4.800412217057934</v>
      </c>
      <c r="M24" s="465">
        <v>-3.0993924652851899</v>
      </c>
      <c r="N24" s="465">
        <v>-1.9440533960317457</v>
      </c>
      <c r="O24" s="465">
        <v>-0.17356478109194906</v>
      </c>
      <c r="P24" s="465">
        <v>0.58478339460591788</v>
      </c>
      <c r="Q24" s="465">
        <v>0.75241517329030083</v>
      </c>
      <c r="R24" s="465">
        <v>0.25588029903283888</v>
      </c>
    </row>
    <row r="25" spans="2:18" ht="13.5" customHeight="1">
      <c r="B25" s="464" t="s">
        <v>935</v>
      </c>
      <c r="C25" s="464" t="s">
        <v>429</v>
      </c>
      <c r="D25" s="465">
        <v>-3.0618509511627496</v>
      </c>
      <c r="E25" s="465">
        <v>-1.4083828012017623</v>
      </c>
      <c r="F25" s="465">
        <v>-1.4215846689460674</v>
      </c>
      <c r="G25" s="465">
        <v>-0.7820187663803454</v>
      </c>
      <c r="H25" s="465">
        <v>-0.14800813953353772</v>
      </c>
      <c r="I25" s="465">
        <v>0.36176831173046803</v>
      </c>
      <c r="J25" s="465">
        <v>-4.3992220847245083</v>
      </c>
      <c r="K25" s="465">
        <v>-2.0580553620180306</v>
      </c>
      <c r="L25" s="465">
        <v>0.92664370145653308</v>
      </c>
      <c r="M25" s="465">
        <v>1.2026172681623331</v>
      </c>
      <c r="N25" s="465">
        <v>1.1949205919396038</v>
      </c>
      <c r="O25" s="465">
        <v>1.0222181433556119</v>
      </c>
      <c r="P25" s="465">
        <v>1.1009195884258196</v>
      </c>
      <c r="Q25" s="465">
        <v>1.1448445900600317</v>
      </c>
      <c r="R25" s="465">
        <v>1.0980278870100226</v>
      </c>
    </row>
    <row r="26" spans="2:18" ht="13.5" customHeight="1">
      <c r="B26" s="464" t="s">
        <v>923</v>
      </c>
      <c r="C26" s="464" t="s">
        <v>923</v>
      </c>
      <c r="D26" s="465">
        <v>-2.4904373273759726</v>
      </c>
      <c r="E26" s="465">
        <v>-0.78461152214003238</v>
      </c>
      <c r="F26" s="465">
        <v>-1.550652071046664</v>
      </c>
      <c r="G26" s="465">
        <v>-1.2774076170096449</v>
      </c>
      <c r="H26" s="465">
        <v>-3.8374472274043439</v>
      </c>
      <c r="I26" s="465">
        <v>-4.2304231734169138</v>
      </c>
      <c r="J26" s="465">
        <v>-9.4543193235230358</v>
      </c>
      <c r="K26" s="465">
        <v>-3.5155262641220486</v>
      </c>
      <c r="L26" s="465">
        <v>-0.67592639025850798</v>
      </c>
      <c r="M26" s="465">
        <v>-1.7648750031948781</v>
      </c>
      <c r="N26" s="465">
        <v>-1.7111002415452234</v>
      </c>
      <c r="O26" s="465">
        <v>-2.7442106710661047</v>
      </c>
      <c r="P26" s="465">
        <v>-2.9089267498296296</v>
      </c>
      <c r="Q26" s="465">
        <v>-2.83410325062014</v>
      </c>
      <c r="R26" s="465">
        <v>-2.7415622786696008</v>
      </c>
    </row>
    <row r="27" spans="2:18" ht="13.5" customHeight="1">
      <c r="B27" s="464" t="s">
        <v>92</v>
      </c>
      <c r="C27" s="464" t="s">
        <v>92</v>
      </c>
      <c r="D27" s="465">
        <v>-0.69425995068820523</v>
      </c>
      <c r="E27" s="465">
        <v>-0.5398060669198137</v>
      </c>
      <c r="F27" s="465">
        <v>-0.8509423140812935</v>
      </c>
      <c r="G27" s="465">
        <v>-1.479849016914087</v>
      </c>
      <c r="H27" s="465">
        <v>-1.5404048355153013</v>
      </c>
      <c r="I27" s="465">
        <v>-0.97336365651710299</v>
      </c>
      <c r="J27" s="465">
        <v>-6.1040058093875258</v>
      </c>
      <c r="K27" s="465">
        <v>-6.7532377430328667</v>
      </c>
      <c r="L27" s="465">
        <v>-8.0814819689737369</v>
      </c>
      <c r="M27" s="465">
        <v>-3.8210599203907369</v>
      </c>
      <c r="N27" s="465">
        <v>-3.2753040222156944</v>
      </c>
      <c r="O27" s="465">
        <v>-2.7731172529028338</v>
      </c>
      <c r="P27" s="465">
        <v>-2.0814230260348876</v>
      </c>
      <c r="Q27" s="465">
        <v>-1.5619850251376424</v>
      </c>
      <c r="R27" s="465">
        <v>-0.97856876528793157</v>
      </c>
    </row>
    <row r="28" spans="2:18" ht="13.5" customHeight="1">
      <c r="B28" s="464" t="s">
        <v>96</v>
      </c>
      <c r="C28" s="464" t="s">
        <v>96</v>
      </c>
      <c r="D28" s="465">
        <v>-5.9888942334477457</v>
      </c>
      <c r="E28" s="465">
        <v>-4.493350137581503</v>
      </c>
      <c r="F28" s="465">
        <v>-4.4508073903137815</v>
      </c>
      <c r="G28" s="465">
        <v>-3.6545138298874082</v>
      </c>
      <c r="H28" s="465">
        <v>-3.0475221371009726</v>
      </c>
      <c r="I28" s="465">
        <v>-3.331489166084352</v>
      </c>
      <c r="J28" s="465">
        <v>-8.1343163735921724</v>
      </c>
      <c r="K28" s="465">
        <v>-6.1712686450319749</v>
      </c>
      <c r="L28" s="465">
        <v>-7.7656391064457431</v>
      </c>
      <c r="M28" s="465">
        <v>-6.3510088409878911</v>
      </c>
      <c r="N28" s="465">
        <v>-4.0871488163761116</v>
      </c>
      <c r="O28" s="465">
        <v>-2.9477916037780503</v>
      </c>
      <c r="P28" s="465">
        <v>-3.1162271307015343</v>
      </c>
      <c r="Q28" s="465">
        <v>-3.3628632182380707</v>
      </c>
      <c r="R28" s="465">
        <v>-3.7365275282821866</v>
      </c>
    </row>
    <row r="29" spans="2:18" ht="13.5" customHeight="1">
      <c r="B29" s="464" t="s">
        <v>283</v>
      </c>
      <c r="C29" s="464" t="s">
        <v>283</v>
      </c>
      <c r="D29" s="465">
        <v>0.72638473861166808</v>
      </c>
      <c r="E29" s="465">
        <v>0.72810434126229551</v>
      </c>
      <c r="F29" s="465">
        <v>1.8148067681201994</v>
      </c>
      <c r="G29" s="465">
        <v>2.2974079645578329</v>
      </c>
      <c r="H29" s="465">
        <v>2.6322992863469663</v>
      </c>
      <c r="I29" s="465">
        <v>0.5411274511802131</v>
      </c>
      <c r="J29" s="465">
        <v>-1.5233697971544433</v>
      </c>
      <c r="K29" s="465">
        <v>0.12753999152999956</v>
      </c>
      <c r="L29" s="465">
        <v>-0.89384246851784011</v>
      </c>
      <c r="M29" s="465">
        <v>0.17163774562899498</v>
      </c>
      <c r="N29" s="465">
        <v>-7.4493706649363486E-2</v>
      </c>
      <c r="O29" s="465">
        <v>-4.4350859259224787E-2</v>
      </c>
      <c r="P29" s="465">
        <v>-7.7308914314155222E-2</v>
      </c>
      <c r="Q29" s="465">
        <v>-0.12422014917209721</v>
      </c>
      <c r="R29" s="465">
        <v>-0.14768769042732979</v>
      </c>
    </row>
    <row r="30" spans="2:18" ht="13.5" customHeight="1">
      <c r="B30" s="464" t="s">
        <v>442</v>
      </c>
      <c r="C30" s="464" t="s">
        <v>442</v>
      </c>
      <c r="D30" s="465">
        <v>-1.0656791202448503</v>
      </c>
      <c r="E30" s="465">
        <v>-1.1283903080665807</v>
      </c>
      <c r="F30" s="465">
        <v>-0.33201857618358016</v>
      </c>
      <c r="G30" s="465">
        <v>-1.1825099412300832</v>
      </c>
      <c r="H30" s="465">
        <v>-1.4662013047732867</v>
      </c>
      <c r="I30" s="465">
        <v>-1.1528791435373182</v>
      </c>
      <c r="J30" s="465">
        <v>-2.8850374970041384</v>
      </c>
      <c r="K30" s="465">
        <v>-5.0110846830330473</v>
      </c>
      <c r="L30" s="465">
        <v>-3.1516151440919771</v>
      </c>
      <c r="M30" s="465">
        <v>-3.8305104081252579</v>
      </c>
      <c r="N30" s="465">
        <v>-1.5932350403890496</v>
      </c>
      <c r="O30" s="465">
        <v>-2.8438885196508328</v>
      </c>
      <c r="P30" s="465">
        <v>-1.1637896810746329</v>
      </c>
      <c r="Q30" s="465">
        <v>-0.48921127961555194</v>
      </c>
      <c r="R30" s="465">
        <v>-0.41884483124429178</v>
      </c>
    </row>
    <row r="31" spans="2:18" ht="13.5" customHeight="1">
      <c r="B31" s="464" t="s">
        <v>433</v>
      </c>
      <c r="C31" s="464" t="s">
        <v>433</v>
      </c>
      <c r="D31" s="465">
        <v>-0.4493461893813096</v>
      </c>
      <c r="E31" s="465">
        <v>6.2077436233732554E-2</v>
      </c>
      <c r="F31" s="465">
        <v>0.55561335653548205</v>
      </c>
      <c r="G31" s="465">
        <v>0.45410559994801908</v>
      </c>
      <c r="H31" s="465">
        <v>0.45104488860131947</v>
      </c>
      <c r="I31" s="465">
        <v>5.7031315471740632E-2</v>
      </c>
      <c r="J31" s="465">
        <v>-6.7918907161501467</v>
      </c>
      <c r="K31" s="465">
        <v>-1.7955742914862085</v>
      </c>
      <c r="L31" s="465">
        <v>-1.519105393546144</v>
      </c>
      <c r="M31" s="465">
        <v>-4.4993281986383566</v>
      </c>
      <c r="N31" s="465">
        <v>-3.0882269822881891</v>
      </c>
      <c r="O31" s="465">
        <v>-2.1107994547920028</v>
      </c>
      <c r="P31" s="465">
        <v>-1.5442395561752693</v>
      </c>
      <c r="Q31" s="465">
        <v>-1.1333240362980894</v>
      </c>
      <c r="R31" s="465">
        <v>-1.0471952491165979</v>
      </c>
    </row>
    <row r="32" spans="2:18" ht="13.5" customHeight="1">
      <c r="B32" s="464" t="s">
        <v>440</v>
      </c>
      <c r="C32" s="464" t="s">
        <v>440</v>
      </c>
      <c r="D32" s="465">
        <v>1.3587466399329202</v>
      </c>
      <c r="E32" s="465">
        <v>1.4845627396620715</v>
      </c>
      <c r="F32" s="465">
        <v>1.0817288029087651</v>
      </c>
      <c r="G32" s="465">
        <v>1.0421007766187924</v>
      </c>
      <c r="H32" s="465">
        <v>2.9808236570819648</v>
      </c>
      <c r="I32" s="465">
        <v>2.0559343910079209</v>
      </c>
      <c r="J32" s="465">
        <v>-2.582980023297925</v>
      </c>
      <c r="K32" s="465">
        <v>0.38460808756040743</v>
      </c>
      <c r="L32" s="465">
        <v>-0.41306319425200644</v>
      </c>
      <c r="M32" s="465">
        <v>-2.873834642505761</v>
      </c>
      <c r="N32" s="465">
        <v>-1.6426261919463365</v>
      </c>
      <c r="O32" s="465">
        <v>-0.97369123812556524</v>
      </c>
      <c r="P32" s="465">
        <v>-0.51930287830324262</v>
      </c>
      <c r="Q32" s="465">
        <v>-0.45394530430843216</v>
      </c>
      <c r="R32" s="465">
        <v>-0.50150612477212042</v>
      </c>
    </row>
    <row r="33" spans="2:19" ht="13.5" customHeight="1">
      <c r="B33" s="464" t="s">
        <v>437</v>
      </c>
      <c r="C33" s="464" t="s">
        <v>437</v>
      </c>
      <c r="D33" s="465">
        <v>-1.3066650884922089</v>
      </c>
      <c r="E33" s="465">
        <v>-2.1195078262991163</v>
      </c>
      <c r="F33" s="465">
        <v>0.7493278765657736</v>
      </c>
      <c r="G33" s="465">
        <v>3.1385450335837382</v>
      </c>
      <c r="H33" s="465">
        <v>1.4998857231541314</v>
      </c>
      <c r="I33" s="465">
        <v>0.29330127942728373</v>
      </c>
      <c r="J33" s="465">
        <v>-5.6710934344417741</v>
      </c>
      <c r="K33" s="465">
        <v>-6.5432199646228666</v>
      </c>
      <c r="L33" s="465">
        <v>-5.563439521974562</v>
      </c>
      <c r="M33" s="465">
        <v>-5.0321314793291352</v>
      </c>
      <c r="N33" s="465">
        <v>-3.7559264310934086</v>
      </c>
      <c r="O33" s="465">
        <v>-2.5686254240789399</v>
      </c>
      <c r="P33" s="465">
        <v>-2.102697313511162</v>
      </c>
      <c r="Q33" s="465">
        <v>-2.190968870401766</v>
      </c>
      <c r="R33" s="465">
        <v>-2.171926771373073</v>
      </c>
    </row>
    <row r="34" spans="2:19" ht="13.5" customHeight="1">
      <c r="B34" s="464" t="s">
        <v>441</v>
      </c>
      <c r="C34" s="464" t="s">
        <v>448</v>
      </c>
      <c r="D34" s="465">
        <v>-0.62235669188158227</v>
      </c>
      <c r="E34" s="465">
        <v>-0.74760065390545449</v>
      </c>
      <c r="F34" s="465">
        <v>0.88091699007677371</v>
      </c>
      <c r="G34" s="465">
        <v>1.4036379591571426</v>
      </c>
      <c r="H34" s="465">
        <v>0.94735081467777227</v>
      </c>
      <c r="I34" s="465">
        <v>1.1361402795628801</v>
      </c>
      <c r="J34" s="465">
        <v>-1.1736121301143845</v>
      </c>
      <c r="K34" s="465">
        <v>-1.9623121593902626</v>
      </c>
      <c r="L34" s="465">
        <v>-2.1300370057677207</v>
      </c>
      <c r="M34" s="465">
        <v>-2.8615718942972905</v>
      </c>
      <c r="N34" s="465">
        <v>-2.1637385089641881</v>
      </c>
      <c r="O34" s="465">
        <v>-2.0788937576943081</v>
      </c>
      <c r="P34" s="465">
        <v>-1.863510567716185</v>
      </c>
      <c r="Q34" s="465">
        <v>-1.8497687915072909</v>
      </c>
      <c r="R34" s="465">
        <v>-1.7789939091864242</v>
      </c>
    </row>
    <row r="35" spans="2:19" ht="13.5" customHeight="1">
      <c r="B35" s="464" t="s">
        <v>924</v>
      </c>
      <c r="C35" s="464" t="s">
        <v>924</v>
      </c>
      <c r="D35" s="465">
        <v>0.4003965777822564</v>
      </c>
      <c r="E35" s="465">
        <v>0.67060812214568533</v>
      </c>
      <c r="F35" s="465">
        <v>1.0083216276405806</v>
      </c>
      <c r="G35" s="465">
        <v>1.1446309629343732</v>
      </c>
      <c r="H35" s="465">
        <v>0.92509020193506397</v>
      </c>
      <c r="I35" s="465">
        <v>-2.183889116071251</v>
      </c>
      <c r="J35" s="465">
        <v>-4.266245151037932</v>
      </c>
      <c r="K35" s="465">
        <v>-4.380351161446681</v>
      </c>
      <c r="L35" s="465">
        <v>-5.2936902098396788</v>
      </c>
      <c r="M35" s="465">
        <v>-4.5033261959052631</v>
      </c>
      <c r="N35" s="465">
        <v>-3.1457915312614362</v>
      </c>
      <c r="O35" s="465">
        <v>-1.52524026756625</v>
      </c>
      <c r="P35" s="465">
        <v>7.157308740021481E-3</v>
      </c>
      <c r="Q35" s="465">
        <v>0.29154229523694325</v>
      </c>
      <c r="R35" s="465">
        <v>3.5237146144210613E-2</v>
      </c>
    </row>
    <row r="36" spans="2:19" ht="13.5" customHeight="1">
      <c r="B36" s="464" t="s">
        <v>936</v>
      </c>
      <c r="C36" s="464" t="s">
        <v>431</v>
      </c>
      <c r="D36" s="465">
        <v>-5.6461191935248776</v>
      </c>
      <c r="E36" s="465">
        <v>-6.6264952569326647</v>
      </c>
      <c r="F36" s="465">
        <v>-7.6225617977095483</v>
      </c>
      <c r="G36" s="465">
        <v>-7.7061389215535598</v>
      </c>
      <c r="H36" s="465">
        <v>-6.9531872546786806</v>
      </c>
      <c r="I36" s="465">
        <v>-7.1529657806757907</v>
      </c>
      <c r="J36" s="465">
        <v>-8.6834342526020531</v>
      </c>
      <c r="K36" s="465">
        <v>-12.308817894224461</v>
      </c>
      <c r="L36" s="465">
        <v>-12.896071097068265</v>
      </c>
      <c r="M36" s="465">
        <v>-12.123242499813912</v>
      </c>
      <c r="N36" s="465">
        <v>-10.194597688399615</v>
      </c>
      <c r="O36" s="465">
        <v>-10.093836858431894</v>
      </c>
      <c r="P36" s="465">
        <v>-9.9907964592134775</v>
      </c>
      <c r="Q36" s="465">
        <v>-9.8877677313932129</v>
      </c>
      <c r="R36" s="465">
        <v>-9.8847506301672663</v>
      </c>
      <c r="S36" s="472"/>
    </row>
    <row r="37" spans="2:19" ht="13.5" customHeight="1">
      <c r="B37" s="464" t="s">
        <v>443</v>
      </c>
      <c r="C37" s="464" t="s">
        <v>443</v>
      </c>
      <c r="D37" s="465">
        <v>-2.6627999592747509</v>
      </c>
      <c r="E37" s="465">
        <v>-1.1135206275568474</v>
      </c>
      <c r="F37" s="465">
        <v>0.19701419475285967</v>
      </c>
      <c r="G37" s="465">
        <v>-2.3100487565925434</v>
      </c>
      <c r="H37" s="465">
        <v>-0.53656062968291218</v>
      </c>
      <c r="I37" s="465">
        <v>-0.66878259896497205</v>
      </c>
      <c r="J37" s="465">
        <v>-2.7440525812643113</v>
      </c>
      <c r="K37" s="465">
        <v>-1.2314821963525584</v>
      </c>
      <c r="L37" s="465">
        <v>-2.8546621311294831</v>
      </c>
      <c r="M37" s="465">
        <v>-1.672704351926307</v>
      </c>
      <c r="N37" s="465">
        <v>-1.3253382118677504</v>
      </c>
      <c r="O37" s="465">
        <v>-1.2602329712569929</v>
      </c>
      <c r="P37" s="465">
        <v>-1.1396980050534011</v>
      </c>
      <c r="Q37" s="465">
        <v>-1.0329140798720362</v>
      </c>
      <c r="R37" s="465">
        <v>-0.87737401108027457</v>
      </c>
    </row>
    <row r="38" spans="2:19">
      <c r="B38" s="464" t="s">
        <v>925</v>
      </c>
      <c r="C38" s="464" t="s">
        <v>925</v>
      </c>
      <c r="D38" s="465">
        <v>0.95414406330561685</v>
      </c>
      <c r="E38" s="465">
        <v>-0.6981055312412674</v>
      </c>
      <c r="F38" s="465">
        <v>0.7396767990255666</v>
      </c>
      <c r="G38" s="465">
        <v>1.7522782173629059</v>
      </c>
      <c r="H38" s="465">
        <v>0.65945492223374669</v>
      </c>
      <c r="I38" s="465">
        <v>1.6961741719251973</v>
      </c>
      <c r="J38" s="465">
        <v>-7.9269069341707183</v>
      </c>
      <c r="K38" s="465">
        <v>-1.0677783695021097</v>
      </c>
      <c r="L38" s="465">
        <v>-1.3173942767813749</v>
      </c>
      <c r="M38" s="465">
        <v>0.67672404299310562</v>
      </c>
      <c r="N38" s="465">
        <v>-0.39753014994286667</v>
      </c>
      <c r="O38" s="465">
        <v>-7.6412641489405686E-2</v>
      </c>
      <c r="P38" s="465">
        <v>0.22026017195590136</v>
      </c>
      <c r="Q38" s="465">
        <v>0.34994188433751305</v>
      </c>
      <c r="R38" s="465">
        <v>0.52320647484324689</v>
      </c>
    </row>
    <row r="39" spans="2:19">
      <c r="B39" s="464" t="s">
        <v>449</v>
      </c>
      <c r="C39" s="464" t="s">
        <v>449</v>
      </c>
      <c r="D39" s="465">
        <v>-2.3411289443371022</v>
      </c>
      <c r="E39" s="465">
        <v>-3.2582036925853779</v>
      </c>
      <c r="F39" s="465">
        <v>-3.0777209153599374</v>
      </c>
      <c r="G39" s="465">
        <v>-1.5184999485925328</v>
      </c>
      <c r="H39" s="465">
        <v>-1.6418469639536797</v>
      </c>
      <c r="I39" s="465">
        <v>-1.7010241610089942</v>
      </c>
      <c r="J39" s="465">
        <v>-3.9308581430869363</v>
      </c>
      <c r="K39" s="465">
        <v>-4.9447955143403739</v>
      </c>
      <c r="L39" s="465">
        <v>-3.1853749057438749</v>
      </c>
      <c r="M39" s="465">
        <v>-4.7400569247492479</v>
      </c>
      <c r="N39" s="465">
        <v>-3.942813243914626</v>
      </c>
      <c r="O39" s="465">
        <v>-4.3844266448072728</v>
      </c>
      <c r="P39" s="465">
        <v>-4.0086680470941376</v>
      </c>
      <c r="Q39" s="465">
        <v>-3.9177700173916774</v>
      </c>
      <c r="R39" s="465">
        <v>-3.8199630665744921</v>
      </c>
    </row>
    <row r="40" spans="2:19">
      <c r="B40" s="464" t="s">
        <v>432</v>
      </c>
      <c r="C40" s="464" t="s">
        <v>432</v>
      </c>
      <c r="D40" s="465">
        <v>-4.3555318891601917</v>
      </c>
      <c r="E40" s="465">
        <v>-1.9468452557714215</v>
      </c>
      <c r="F40" s="465">
        <v>-1.8273453957087029</v>
      </c>
      <c r="G40" s="465">
        <v>-3.4535411707470827E-2</v>
      </c>
      <c r="H40" s="465">
        <v>0.59297697810248606</v>
      </c>
      <c r="I40" s="465">
        <v>0.16227975686958193</v>
      </c>
      <c r="J40" s="465">
        <v>-6.3305664008537263</v>
      </c>
      <c r="K40" s="465">
        <v>-5.4890547858877099</v>
      </c>
      <c r="L40" s="465">
        <v>-4.6197544008057712</v>
      </c>
      <c r="M40" s="465">
        <v>-4.5931480114021195</v>
      </c>
      <c r="N40" s="465">
        <v>-2.6287211802123589</v>
      </c>
      <c r="O40" s="465">
        <v>-2.1900504979889863</v>
      </c>
      <c r="P40" s="465">
        <v>-1.4978667684814977</v>
      </c>
      <c r="Q40" s="465">
        <v>-1.440057967835414</v>
      </c>
      <c r="R40" s="465">
        <v>-1.4247238996436591</v>
      </c>
    </row>
    <row r="41" spans="2:19" ht="13.5">
      <c r="B41" s="464" t="s">
        <v>937</v>
      </c>
      <c r="C41" s="464" t="s">
        <v>94</v>
      </c>
      <c r="D41" s="465">
        <v>-1.1904611552903952</v>
      </c>
      <c r="E41" s="465">
        <v>-2.13269977324329</v>
      </c>
      <c r="F41" s="465">
        <v>-2.4936167162410152</v>
      </c>
      <c r="G41" s="465">
        <v>-2.3844485051417261</v>
      </c>
      <c r="H41" s="465">
        <v>-2.1884361303307007</v>
      </c>
      <c r="I41" s="465">
        <v>-3.050911735547674</v>
      </c>
      <c r="J41" s="465">
        <v>-4.7965644914052357</v>
      </c>
      <c r="K41" s="465">
        <v>-4.0522480132612744</v>
      </c>
      <c r="L41" s="465">
        <v>-4.1849117824683555</v>
      </c>
      <c r="M41" s="465">
        <v>-4.185361100364708</v>
      </c>
      <c r="N41" s="465">
        <v>-3.3818138792830341</v>
      </c>
      <c r="O41" s="465">
        <v>-3.7789687826171372</v>
      </c>
      <c r="P41" s="465">
        <v>-4.0187160130600388</v>
      </c>
      <c r="Q41" s="465">
        <v>-4.0300259043190536</v>
      </c>
      <c r="R41" s="465">
        <v>-4.0268172738414076</v>
      </c>
    </row>
    <row r="42" spans="2:19" ht="13.5">
      <c r="B42" s="464" t="s">
        <v>938</v>
      </c>
      <c r="C42" s="464" t="s">
        <v>422</v>
      </c>
      <c r="D42" s="465">
        <v>-0.9116589386706645</v>
      </c>
      <c r="E42" s="465">
        <v>-0.70811986712028119</v>
      </c>
      <c r="F42" s="465">
        <v>0.6770127101872887</v>
      </c>
      <c r="G42" s="465">
        <v>0.86655423467592163</v>
      </c>
      <c r="H42" s="465">
        <v>0.26041751773051541</v>
      </c>
      <c r="I42" s="465">
        <v>-0.20462723001737054</v>
      </c>
      <c r="J42" s="465">
        <v>-1.6596060415078631</v>
      </c>
      <c r="K42" s="465">
        <v>-0.3300090216400684</v>
      </c>
      <c r="L42" s="465">
        <v>0.10224737716009046</v>
      </c>
      <c r="M42" s="465">
        <v>0.430663165286224</v>
      </c>
      <c r="N42" s="465">
        <v>0.31338619717734301</v>
      </c>
      <c r="O42" s="465">
        <v>0.23083986535255099</v>
      </c>
      <c r="P42" s="465">
        <v>0.34298711394398074</v>
      </c>
      <c r="Q42" s="465">
        <v>0.31831394816905362</v>
      </c>
      <c r="R42" s="465">
        <v>0.31059389658145803</v>
      </c>
    </row>
    <row r="43" spans="2:19" ht="13.5">
      <c r="B43" s="464" t="s">
        <v>939</v>
      </c>
      <c r="C43" s="464" t="s">
        <v>926</v>
      </c>
      <c r="D43" s="465">
        <v>-0.22495184857372494</v>
      </c>
      <c r="E43" s="465">
        <v>0.55181710746741475</v>
      </c>
      <c r="F43" s="465">
        <v>0.24787435278617689</v>
      </c>
      <c r="G43" s="465">
        <v>1.1562119343855173</v>
      </c>
      <c r="H43" s="465">
        <v>1.0796531383603212</v>
      </c>
      <c r="I43" s="465">
        <v>1.2330183161723534</v>
      </c>
      <c r="J43" s="465">
        <v>-2.3388158946571886</v>
      </c>
      <c r="K43" s="465">
        <v>-0.36302898298926894</v>
      </c>
      <c r="L43" s="465">
        <v>7.0193589131391954E-2</v>
      </c>
      <c r="M43" s="465">
        <v>0.3527510537524513</v>
      </c>
      <c r="N43" s="465">
        <v>0.18590583558213022</v>
      </c>
      <c r="O43" s="465">
        <v>0.14064361759884672</v>
      </c>
      <c r="P43" s="465">
        <v>7.8718513761399767E-2</v>
      </c>
      <c r="Q43" s="465">
        <v>7.876483418220899E-2</v>
      </c>
      <c r="R43" s="465">
        <v>7.9374427094182035E-2</v>
      </c>
    </row>
    <row r="44" spans="2:19" ht="13.5">
      <c r="B44" s="464" t="s">
        <v>940</v>
      </c>
      <c r="C44" s="464" t="s">
        <v>97</v>
      </c>
      <c r="D44" s="465">
        <v>-2.9435780282870549</v>
      </c>
      <c r="E44" s="465">
        <v>-2.5363734116883201</v>
      </c>
      <c r="F44" s="465">
        <v>-1.6181125589677077</v>
      </c>
      <c r="G44" s="465">
        <v>-1.2813796312375307</v>
      </c>
      <c r="H44" s="465">
        <v>-1.3985666212186365</v>
      </c>
      <c r="I44" s="465">
        <v>-1.6459790848967057</v>
      </c>
      <c r="J44" s="465">
        <v>-10.71731500612958</v>
      </c>
      <c r="K44" s="465">
        <v>-7.7221271868581782</v>
      </c>
      <c r="L44" s="465">
        <v>-7.2465625166644578</v>
      </c>
      <c r="M44" s="465">
        <v>-5.7446524064884343</v>
      </c>
      <c r="N44" s="465">
        <v>-3.7953652876470447</v>
      </c>
      <c r="O44" s="465">
        <v>-3.768367955331557</v>
      </c>
      <c r="P44" s="465">
        <v>-3.8012916420023481</v>
      </c>
      <c r="Q44" s="465">
        <v>-3.877961625818624</v>
      </c>
      <c r="R44" s="465">
        <v>-3.7719779020356823</v>
      </c>
    </row>
    <row r="45" spans="2:19" ht="13.5">
      <c r="B45" s="466" t="s">
        <v>941</v>
      </c>
      <c r="C45" s="466" t="s">
        <v>99</v>
      </c>
      <c r="D45" s="467">
        <v>-2.666521324228722</v>
      </c>
      <c r="E45" s="467">
        <v>-2.5415738097046581</v>
      </c>
      <c r="F45" s="467">
        <v>-3.5819475522789546</v>
      </c>
      <c r="G45" s="467">
        <v>-4.3175970059399074</v>
      </c>
      <c r="H45" s="467">
        <v>-5.1055316996856348</v>
      </c>
      <c r="I45" s="467">
        <v>-5.9655407161992562</v>
      </c>
      <c r="J45" s="467">
        <v>-10.656106334031934</v>
      </c>
      <c r="K45" s="467">
        <v>-10.659410083554953</v>
      </c>
      <c r="L45" s="467">
        <v>-5.9059623191839652</v>
      </c>
      <c r="M45" s="467">
        <v>-6.5868278093757882</v>
      </c>
      <c r="N45" s="467">
        <v>-6.7228384113530177</v>
      </c>
      <c r="O45" s="467">
        <v>-6.9023957559882536</v>
      </c>
      <c r="P45" s="467">
        <v>-6.6865848172725952</v>
      </c>
      <c r="Q45" s="467">
        <v>-6.4777569357650053</v>
      </c>
      <c r="R45" s="467">
        <v>-6.741246130436215</v>
      </c>
    </row>
    <row r="46" spans="2:19" ht="6" customHeight="1">
      <c r="B46" s="464"/>
      <c r="C46" s="464"/>
      <c r="D46" s="465"/>
      <c r="E46" s="465"/>
      <c r="F46" s="465"/>
      <c r="G46" s="465"/>
      <c r="H46" s="465"/>
      <c r="I46" s="465"/>
      <c r="J46" s="465"/>
      <c r="K46" s="465"/>
      <c r="L46" s="465"/>
      <c r="M46" s="465"/>
      <c r="N46" s="465"/>
      <c r="O46" s="465"/>
      <c r="P46" s="465"/>
      <c r="Q46" s="465"/>
      <c r="R46" s="465"/>
    </row>
    <row r="47" spans="2:19" ht="10.5" customHeight="1">
      <c r="B47" s="613" t="s">
        <v>927</v>
      </c>
      <c r="C47" s="613"/>
      <c r="D47" s="613"/>
      <c r="E47" s="613"/>
      <c r="F47" s="613"/>
      <c r="G47" s="613"/>
      <c r="H47" s="613"/>
      <c r="I47" s="613"/>
      <c r="J47" s="613"/>
      <c r="K47" s="613"/>
      <c r="L47" s="613"/>
      <c r="M47" s="613"/>
      <c r="N47" s="613"/>
      <c r="O47" s="613"/>
      <c r="P47" s="613"/>
      <c r="Q47" s="613"/>
      <c r="R47" s="613"/>
    </row>
    <row r="48" spans="2:19" ht="12" customHeight="1">
      <c r="B48" s="615" t="s">
        <v>928</v>
      </c>
      <c r="C48" s="615"/>
      <c r="D48" s="615"/>
      <c r="E48" s="615"/>
      <c r="F48" s="615"/>
      <c r="G48" s="615"/>
      <c r="H48" s="615"/>
      <c r="I48" s="615"/>
      <c r="J48" s="615"/>
      <c r="K48" s="615"/>
      <c r="L48" s="615"/>
      <c r="M48" s="615"/>
      <c r="N48" s="615"/>
      <c r="O48" s="615"/>
      <c r="P48" s="615"/>
      <c r="Q48" s="615"/>
      <c r="R48" s="479"/>
    </row>
    <row r="49" spans="2:18" ht="12" customHeight="1">
      <c r="B49" s="464" t="s">
        <v>942</v>
      </c>
      <c r="C49" s="480"/>
      <c r="D49" s="480"/>
      <c r="E49" s="480"/>
      <c r="F49" s="480"/>
      <c r="G49" s="480"/>
      <c r="H49" s="480"/>
      <c r="I49" s="480"/>
      <c r="J49" s="480"/>
      <c r="K49" s="480"/>
      <c r="L49" s="480"/>
      <c r="M49" s="480"/>
      <c r="N49" s="480"/>
      <c r="O49" s="480"/>
      <c r="P49" s="480"/>
      <c r="Q49" s="480"/>
      <c r="R49" s="479"/>
    </row>
    <row r="50" spans="2:18" ht="13.9" customHeight="1">
      <c r="B50" s="481" t="s">
        <v>943</v>
      </c>
      <c r="C50" s="481"/>
      <c r="D50" s="479"/>
      <c r="E50" s="479"/>
      <c r="F50" s="479"/>
      <c r="G50" s="479"/>
      <c r="H50" s="479"/>
      <c r="I50" s="479"/>
      <c r="J50" s="479"/>
      <c r="K50" s="479"/>
      <c r="L50" s="479"/>
      <c r="M50" s="479"/>
      <c r="N50" s="479"/>
      <c r="O50" s="479"/>
      <c r="P50" s="479"/>
      <c r="Q50" s="479"/>
      <c r="R50" s="479"/>
    </row>
    <row r="51" spans="2:18" ht="38.25" customHeight="1">
      <c r="B51" s="614" t="s">
        <v>944</v>
      </c>
      <c r="C51" s="614"/>
      <c r="D51" s="614"/>
      <c r="E51" s="614"/>
      <c r="F51" s="614"/>
      <c r="G51" s="614"/>
      <c r="H51" s="614"/>
      <c r="I51" s="614"/>
      <c r="J51" s="614"/>
      <c r="K51" s="614"/>
      <c r="L51" s="614"/>
      <c r="M51" s="614"/>
      <c r="N51" s="614"/>
      <c r="O51" s="614"/>
      <c r="P51" s="614"/>
      <c r="Q51" s="614"/>
      <c r="R51" s="614"/>
    </row>
    <row r="52" spans="2:18" ht="14.25" customHeight="1">
      <c r="C52" s="464"/>
      <c r="D52" s="469"/>
      <c r="E52" s="469"/>
      <c r="F52" s="469"/>
      <c r="G52" s="469"/>
      <c r="H52" s="469"/>
      <c r="I52" s="469"/>
      <c r="J52" s="469"/>
      <c r="K52" s="469"/>
      <c r="L52" s="469"/>
      <c r="M52" s="469"/>
      <c r="N52" s="469"/>
      <c r="O52" s="469"/>
      <c r="P52" s="469"/>
      <c r="Q52" s="469"/>
      <c r="R52" s="469"/>
    </row>
    <row r="53" spans="2:18">
      <c r="B53" s="464"/>
      <c r="C53" s="464"/>
      <c r="D53" s="469"/>
      <c r="E53" s="469"/>
      <c r="F53" s="469"/>
      <c r="G53" s="469"/>
      <c r="H53" s="469"/>
      <c r="I53" s="469"/>
      <c r="J53" s="469"/>
      <c r="K53" s="469"/>
      <c r="L53" s="469"/>
      <c r="M53" s="469"/>
      <c r="N53" s="469"/>
      <c r="O53" s="469"/>
      <c r="P53" s="469"/>
      <c r="Q53" s="469"/>
      <c r="R53" s="469"/>
    </row>
    <row r="54" spans="2:18">
      <c r="B54" s="464"/>
      <c r="C54" s="464"/>
      <c r="D54" s="469"/>
      <c r="E54" s="469"/>
      <c r="F54" s="469"/>
      <c r="G54" s="469"/>
      <c r="H54" s="469"/>
      <c r="I54" s="469"/>
      <c r="J54" s="469"/>
      <c r="K54" s="469"/>
      <c r="L54" s="469"/>
      <c r="M54" s="469"/>
      <c r="N54" s="469"/>
      <c r="O54" s="469"/>
      <c r="P54" s="469"/>
      <c r="Q54" s="469"/>
      <c r="R54" s="469"/>
    </row>
    <row r="55" spans="2:18">
      <c r="B55" s="464"/>
      <c r="C55" s="464"/>
      <c r="D55" s="469"/>
      <c r="E55" s="469"/>
      <c r="F55" s="469"/>
      <c r="G55" s="469"/>
      <c r="H55" s="469"/>
      <c r="I55" s="469"/>
      <c r="J55" s="469"/>
      <c r="K55" s="469"/>
      <c r="L55" s="469"/>
      <c r="M55" s="469"/>
      <c r="N55" s="469"/>
      <c r="O55" s="469"/>
      <c r="P55" s="469"/>
      <c r="Q55" s="469"/>
      <c r="R55" s="469"/>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row r="80" spans="2:18">
      <c r="B80" s="464"/>
      <c r="C80" s="464"/>
      <c r="D80" s="469"/>
      <c r="E80" s="469"/>
      <c r="F80" s="469"/>
      <c r="G80" s="469"/>
      <c r="H80" s="469"/>
      <c r="I80" s="469"/>
      <c r="J80" s="469"/>
      <c r="K80" s="469"/>
      <c r="L80" s="469"/>
      <c r="M80" s="469"/>
      <c r="N80" s="469"/>
      <c r="O80" s="469"/>
      <c r="P80" s="469"/>
      <c r="Q80" s="469"/>
      <c r="R80" s="469"/>
    </row>
  </sheetData>
  <mergeCells count="4">
    <mergeCell ref="B2:R2"/>
    <mergeCell ref="B47:R47"/>
    <mergeCell ref="B48:Q48"/>
    <mergeCell ref="B51:R51"/>
  </mergeCells>
  <conditionalFormatting sqref="B9:R45">
    <cfRule type="expression" dxfId="41" priority="1">
      <formula>MOD(ROW(),2)=0</formula>
    </cfRule>
  </conditionalFormatting>
  <pageMargins left="0.7" right="0.7" top="0.75" bottom="0.75" header="0.3" footer="0.3"/>
  <pageSetup scale="1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31477-0354-47FE-ACF0-5FBFFA9A9729}">
  <sheetPr codeName="Sheet7">
    <pageSetUpPr fitToPage="1"/>
  </sheetPr>
  <dimension ref="B2:X80"/>
  <sheetViews>
    <sheetView showGridLines="0" zoomScaleNormal="100"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8.85546875" style="452" customWidth="1" collapsed="1"/>
    <col min="5" max="18" width="8.85546875" style="452" customWidth="1"/>
    <col min="19" max="19" width="0.85546875" style="451" customWidth="1"/>
    <col min="20" max="16384" width="9.140625" style="451"/>
  </cols>
  <sheetData>
    <row r="2" spans="2:24" ht="15.6" customHeight="1">
      <c r="B2" s="612" t="str">
        <f>"Table A4. Advanced Economies: General Government Cyclically Adjusted Primary Balance, "&amp;$D$4&amp;"–"&amp;RIGHT($R$4,2)</f>
        <v>Table A4. Advanced Economies: General Government Cyclically Adjusted Primary Balance, 2014–28</v>
      </c>
      <c r="C2" s="612"/>
      <c r="D2" s="612"/>
      <c r="E2" s="612"/>
      <c r="F2" s="612"/>
      <c r="G2" s="612"/>
      <c r="H2" s="612"/>
      <c r="I2" s="612"/>
      <c r="J2" s="612"/>
      <c r="K2" s="612"/>
      <c r="L2" s="612"/>
      <c r="M2" s="612"/>
      <c r="N2" s="612"/>
      <c r="O2" s="612"/>
      <c r="P2" s="612"/>
      <c r="Q2" s="612"/>
      <c r="R2" s="612"/>
    </row>
    <row r="3" spans="2:24" ht="15.75">
      <c r="B3" s="454" t="s">
        <v>933</v>
      </c>
      <c r="C3" s="455"/>
      <c r="D3" s="455"/>
      <c r="E3" s="455"/>
      <c r="F3" s="455"/>
      <c r="G3" s="455"/>
      <c r="H3" s="455"/>
      <c r="I3" s="455"/>
      <c r="J3" s="455"/>
      <c r="K3" s="455"/>
      <c r="L3" s="455"/>
      <c r="M3" s="455"/>
      <c r="N3" s="455"/>
      <c r="O3" s="455"/>
      <c r="P3" s="455"/>
      <c r="Q3" s="455"/>
      <c r="R3" s="482"/>
    </row>
    <row r="4" spans="2:24"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4">
      <c r="B5" s="459" t="s">
        <v>196</v>
      </c>
      <c r="C5" s="460" t="s">
        <v>84</v>
      </c>
      <c r="D5" s="461">
        <v>-0.54924171045567627</v>
      </c>
      <c r="E5" s="461">
        <v>-0.4030033807256535</v>
      </c>
      <c r="F5" s="461">
        <v>-0.66982837187485378</v>
      </c>
      <c r="G5" s="461">
        <v>-0.84956845721770435</v>
      </c>
      <c r="H5" s="461">
        <v>-1.0032955109361803</v>
      </c>
      <c r="I5" s="461">
        <v>-1.7926603497523503</v>
      </c>
      <c r="J5" s="461">
        <v>-6.5794305133245494</v>
      </c>
      <c r="K5" s="461">
        <v>-5.5250310300466809</v>
      </c>
      <c r="L5" s="461">
        <v>-3.3974519573223949</v>
      </c>
      <c r="M5" s="461">
        <v>-3.2058698238417889</v>
      </c>
      <c r="N5" s="461">
        <v>-2.5723998669321206</v>
      </c>
      <c r="O5" s="461">
        <v>-2.4003159191058785</v>
      </c>
      <c r="P5" s="461">
        <v>-2.2178335804708618</v>
      </c>
      <c r="Q5" s="461">
        <v>-2.0525048121737299</v>
      </c>
      <c r="R5" s="461">
        <v>-2.0802402096590988</v>
      </c>
      <c r="T5" s="471"/>
      <c r="U5" s="472"/>
      <c r="V5" s="472"/>
      <c r="W5" s="472"/>
      <c r="X5" s="472"/>
    </row>
    <row r="6" spans="2:24">
      <c r="B6" s="462" t="s">
        <v>88</v>
      </c>
      <c r="C6" s="460" t="s">
        <v>88</v>
      </c>
      <c r="D6" s="461">
        <v>1.347070266168185</v>
      </c>
      <c r="E6" s="461">
        <v>1.388943654142784</v>
      </c>
      <c r="F6" s="461">
        <v>1.343570252002287</v>
      </c>
      <c r="G6" s="461">
        <v>1.1501644131233679</v>
      </c>
      <c r="H6" s="461">
        <v>1.27104133117527</v>
      </c>
      <c r="I6" s="461">
        <v>0.69319496565387539</v>
      </c>
      <c r="J6" s="461">
        <v>-3.0909237602732498</v>
      </c>
      <c r="K6" s="461">
        <v>-2.8813164303077996</v>
      </c>
      <c r="L6" s="461">
        <v>-2.3804196434985321</v>
      </c>
      <c r="M6" s="461">
        <v>-1.9381479112366127</v>
      </c>
      <c r="N6" s="461">
        <v>-0.89290423670614039</v>
      </c>
      <c r="O6" s="461">
        <v>-0.47449726535658482</v>
      </c>
      <c r="P6" s="461">
        <v>-0.33770877905875701</v>
      </c>
      <c r="Q6" s="461">
        <v>-0.15947450522206247</v>
      </c>
      <c r="R6" s="461">
        <v>-6.8242666061086629E-2</v>
      </c>
      <c r="T6" s="472"/>
      <c r="U6" s="472"/>
      <c r="V6" s="472"/>
      <c r="W6" s="472"/>
      <c r="X6" s="472"/>
    </row>
    <row r="7" spans="2:24">
      <c r="B7" s="462" t="s">
        <v>914</v>
      </c>
      <c r="C7" s="462" t="s">
        <v>915</v>
      </c>
      <c r="D7" s="461">
        <v>-0.73955323476128376</v>
      </c>
      <c r="E7" s="461">
        <v>-0.52754799910431316</v>
      </c>
      <c r="F7" s="461">
        <v>-0.98954227072741707</v>
      </c>
      <c r="G7" s="461">
        <v>-1.3098774103307362</v>
      </c>
      <c r="H7" s="461">
        <v>-1.4523509169166648</v>
      </c>
      <c r="I7" s="461">
        <v>-2.1562916053125765</v>
      </c>
      <c r="J7" s="461">
        <v>-7.4145065641895256</v>
      </c>
      <c r="K7" s="461">
        <v>-6.4854678459384827</v>
      </c>
      <c r="L7" s="461">
        <v>-3.8149634405189752</v>
      </c>
      <c r="M7" s="461">
        <v>-3.6668319352886538</v>
      </c>
      <c r="N7" s="461">
        <v>-2.9979728915138248</v>
      </c>
      <c r="O7" s="461">
        <v>-2.8022542740393219</v>
      </c>
      <c r="P7" s="461">
        <v>-2.6096868741476293</v>
      </c>
      <c r="Q7" s="461">
        <v>-2.4146348026836639</v>
      </c>
      <c r="R7" s="461">
        <v>-2.4589103893747639</v>
      </c>
      <c r="T7" s="471"/>
      <c r="U7" s="472"/>
      <c r="V7" s="472"/>
      <c r="W7" s="472"/>
      <c r="X7" s="472"/>
    </row>
    <row r="8" spans="2:24">
      <c r="B8" s="462" t="s">
        <v>916</v>
      </c>
      <c r="C8" s="463" t="s">
        <v>86</v>
      </c>
      <c r="D8" s="461">
        <v>-0.74122910218845695</v>
      </c>
      <c r="E8" s="461">
        <v>-0.52656043649847895</v>
      </c>
      <c r="F8" s="461">
        <v>-0.90150540298680237</v>
      </c>
      <c r="G8" s="461">
        <v>-1.1552491746483531</v>
      </c>
      <c r="H8" s="461">
        <v>-1.2608012656616348</v>
      </c>
      <c r="I8" s="461">
        <v>-2.1045985988645421</v>
      </c>
      <c r="J8" s="461">
        <v>-7.1909606118187082</v>
      </c>
      <c r="K8" s="461">
        <v>-6.1936490096682437</v>
      </c>
      <c r="L8" s="461">
        <v>-3.6702542194161678</v>
      </c>
      <c r="M8" s="461">
        <v>-3.4783391818027742</v>
      </c>
      <c r="N8" s="461">
        <v>-2.845164426754514</v>
      </c>
      <c r="O8" s="461">
        <v>-2.646363182459162</v>
      </c>
      <c r="P8" s="461">
        <v>-2.4526402063215924</v>
      </c>
      <c r="Q8" s="461">
        <v>-2.2634481217860598</v>
      </c>
      <c r="R8" s="461">
        <v>-2.2938300331919081</v>
      </c>
      <c r="T8" s="471"/>
      <c r="U8" s="472"/>
      <c r="V8" s="472"/>
      <c r="W8" s="472"/>
      <c r="X8" s="472"/>
    </row>
    <row r="9" spans="2:24" ht="12.75" customHeight="1">
      <c r="B9" s="464" t="s">
        <v>917</v>
      </c>
      <c r="C9" s="464" t="s">
        <v>917</v>
      </c>
      <c r="D9" s="465" t="s">
        <v>139</v>
      </c>
      <c r="E9" s="465" t="s">
        <v>139</v>
      </c>
      <c r="F9" s="465" t="s">
        <v>139</v>
      </c>
      <c r="G9" s="465" t="s">
        <v>139</v>
      </c>
      <c r="H9" s="465" t="s">
        <v>139</v>
      </c>
      <c r="I9" s="465" t="s">
        <v>139</v>
      </c>
      <c r="J9" s="465" t="s">
        <v>139</v>
      </c>
      <c r="K9" s="465" t="s">
        <v>139</v>
      </c>
      <c r="L9" s="465" t="s">
        <v>139</v>
      </c>
      <c r="M9" s="465" t="s">
        <v>139</v>
      </c>
      <c r="N9" s="465" t="s">
        <v>139</v>
      </c>
      <c r="O9" s="465" t="s">
        <v>139</v>
      </c>
      <c r="P9" s="465" t="s">
        <v>139</v>
      </c>
      <c r="Q9" s="465" t="s">
        <v>139</v>
      </c>
      <c r="R9" s="465" t="s">
        <v>139</v>
      </c>
    </row>
    <row r="10" spans="2:24" ht="14.25" customHeight="1">
      <c r="B10" s="464" t="s">
        <v>934</v>
      </c>
      <c r="C10" s="464" t="s">
        <v>279</v>
      </c>
      <c r="D10" s="465">
        <v>-1.838910748958406</v>
      </c>
      <c r="E10" s="465">
        <v>-1.5926816107267896</v>
      </c>
      <c r="F10" s="465">
        <v>-1.271910144142214</v>
      </c>
      <c r="G10" s="465">
        <v>-0.65952854816659423</v>
      </c>
      <c r="H10" s="465">
        <v>-0.24536438720417661</v>
      </c>
      <c r="I10" s="465">
        <v>-3.1771905194882781</v>
      </c>
      <c r="J10" s="465">
        <v>-7.0669869021051879</v>
      </c>
      <c r="K10" s="465">
        <v>-5.1597974792144168</v>
      </c>
      <c r="L10" s="465">
        <v>-2.4450020063272802</v>
      </c>
      <c r="M10" s="465">
        <v>-1.9699767309853826</v>
      </c>
      <c r="N10" s="465">
        <v>-1.4165738568889901</v>
      </c>
      <c r="O10" s="465">
        <v>-1.0154565250514436</v>
      </c>
      <c r="P10" s="465">
        <v>-0.6175628639533467</v>
      </c>
      <c r="Q10" s="465">
        <v>-0.40895498940423475</v>
      </c>
      <c r="R10" s="465">
        <v>-0.12375360708057756</v>
      </c>
    </row>
    <row r="11" spans="2:24" ht="13.5" customHeight="1">
      <c r="B11" s="464" t="s">
        <v>439</v>
      </c>
      <c r="C11" s="464" t="s">
        <v>439</v>
      </c>
      <c r="D11" s="465">
        <v>-0.19476044695664751</v>
      </c>
      <c r="E11" s="465">
        <v>1.3745311646800433</v>
      </c>
      <c r="F11" s="465">
        <v>0.41992485468924767</v>
      </c>
      <c r="G11" s="465">
        <v>0.53026093192608581</v>
      </c>
      <c r="H11" s="465">
        <v>0.40317962522106193</v>
      </c>
      <c r="I11" s="465">
        <v>0.44597922990458277</v>
      </c>
      <c r="J11" s="465">
        <v>-3.973932294473542</v>
      </c>
      <c r="K11" s="465">
        <v>-4.0469488854257119</v>
      </c>
      <c r="L11" s="465">
        <v>-3.0751900274926305</v>
      </c>
      <c r="M11" s="465">
        <v>-1.6160820328965029</v>
      </c>
      <c r="N11" s="465">
        <v>-5.2525647787346953E-2</v>
      </c>
      <c r="O11" s="465">
        <v>0.35672848175594157</v>
      </c>
      <c r="P11" s="465">
        <v>0.21073629646319206</v>
      </c>
      <c r="Q11" s="465">
        <v>-9.1771169427121522E-3</v>
      </c>
      <c r="R11" s="465">
        <v>-1.2984624838739782E-3</v>
      </c>
    </row>
    <row r="12" spans="2:24" ht="13.5" customHeight="1">
      <c r="B12" s="464" t="s">
        <v>444</v>
      </c>
      <c r="C12" s="464" t="s">
        <v>444</v>
      </c>
      <c r="D12" s="465">
        <v>0.22970906394080554</v>
      </c>
      <c r="E12" s="465">
        <v>0.23559021656685797</v>
      </c>
      <c r="F12" s="465">
        <v>6.1073516875174226E-2</v>
      </c>
      <c r="G12" s="465">
        <v>1.271559358416166</v>
      </c>
      <c r="H12" s="465">
        <v>0.61572822470523914</v>
      </c>
      <c r="I12" s="465">
        <v>-1.0228056959461795</v>
      </c>
      <c r="J12" s="465">
        <v>-4.8305574408816794</v>
      </c>
      <c r="K12" s="465">
        <v>-3.9384375252061474</v>
      </c>
      <c r="L12" s="465">
        <v>-3.5086096510035936</v>
      </c>
      <c r="M12" s="465">
        <v>-3.8018756169244092</v>
      </c>
      <c r="N12" s="465">
        <v>-3.5874808599553365</v>
      </c>
      <c r="O12" s="465">
        <v>-3.3196844186801315</v>
      </c>
      <c r="P12" s="465">
        <v>-3.2545369111252125</v>
      </c>
      <c r="Q12" s="465">
        <v>-3.0644440445764287</v>
      </c>
      <c r="R12" s="465">
        <v>-2.9839074438901401</v>
      </c>
    </row>
    <row r="13" spans="2:24" ht="13.5" customHeight="1">
      <c r="B13" s="464" t="s">
        <v>87</v>
      </c>
      <c r="C13" s="464" t="s">
        <v>87</v>
      </c>
      <c r="D13" s="465">
        <v>6.3350280529910249E-2</v>
      </c>
      <c r="E13" s="465">
        <v>0.64455861088242572</v>
      </c>
      <c r="F13" s="465">
        <v>0.50614049754697854</v>
      </c>
      <c r="G13" s="465">
        <v>-7.2821026528016655E-2</v>
      </c>
      <c r="H13" s="465">
        <v>0.21743817809625707</v>
      </c>
      <c r="I13" s="465">
        <v>-6.7542819718976244E-2</v>
      </c>
      <c r="J13" s="465">
        <v>-8.8156286340171537</v>
      </c>
      <c r="K13" s="465">
        <v>-4.350016646781186</v>
      </c>
      <c r="L13" s="465">
        <v>-1.5696972947151919</v>
      </c>
      <c r="M13" s="465">
        <v>-0.6593116149999152</v>
      </c>
      <c r="N13" s="465">
        <v>-0.38520650066799428</v>
      </c>
      <c r="O13" s="465">
        <v>-0.51006385372666152</v>
      </c>
      <c r="P13" s="465">
        <v>-0.43820673854014686</v>
      </c>
      <c r="Q13" s="465">
        <v>-0.42208670854597802</v>
      </c>
      <c r="R13" s="465">
        <v>-0.40414626143268878</v>
      </c>
    </row>
    <row r="14" spans="2:24" ht="13.5" customHeight="1">
      <c r="B14" s="464" t="s">
        <v>430</v>
      </c>
      <c r="C14" s="464" t="s">
        <v>430</v>
      </c>
      <c r="D14" s="465">
        <v>-2.1267361231831705</v>
      </c>
      <c r="E14" s="465">
        <v>-5.4510607398471191E-3</v>
      </c>
      <c r="F14" s="465">
        <v>1.8285512090560019</v>
      </c>
      <c r="G14" s="465">
        <v>3.1030209350016889</v>
      </c>
      <c r="H14" s="465">
        <v>2.2156658661073316</v>
      </c>
      <c r="I14" s="465">
        <v>1.928506170922063</v>
      </c>
      <c r="J14" s="465">
        <v>-3.9582520438516995</v>
      </c>
      <c r="K14" s="465">
        <v>-2.1159305693242096</v>
      </c>
      <c r="L14" s="465">
        <v>-0.64164380739977578</v>
      </c>
      <c r="M14" s="465">
        <v>-0.95290702454747889</v>
      </c>
      <c r="N14" s="465">
        <v>9.3236199114374876E-2</v>
      </c>
      <c r="O14" s="465">
        <v>0.41439768129408461</v>
      </c>
      <c r="P14" s="465">
        <v>0.46384912889967389</v>
      </c>
      <c r="Q14" s="465">
        <v>0.39522990169011024</v>
      </c>
      <c r="R14" s="465">
        <v>0.30366760632482975</v>
      </c>
    </row>
    <row r="15" spans="2:24" ht="13.5" customHeight="1">
      <c r="B15" s="464" t="s">
        <v>421</v>
      </c>
      <c r="C15" s="464" t="s">
        <v>421</v>
      </c>
      <c r="D15" s="465">
        <v>4.3459430852191128</v>
      </c>
      <c r="E15" s="465">
        <v>4.320543280953407</v>
      </c>
      <c r="F15" s="465">
        <v>3.0630687852633112</v>
      </c>
      <c r="G15" s="465">
        <v>3.5416837435906836</v>
      </c>
      <c r="H15" s="465">
        <v>4.3232730717493988</v>
      </c>
      <c r="I15" s="465">
        <v>2.2883266683462886</v>
      </c>
      <c r="J15" s="465">
        <v>-2.1491420787410171</v>
      </c>
      <c r="K15" s="465">
        <v>0.16645170868841683</v>
      </c>
      <c r="L15" s="465">
        <v>2.4342407741711938</v>
      </c>
      <c r="M15" s="465">
        <v>2.3517309757853453</v>
      </c>
      <c r="N15" s="465">
        <v>2.2021533719676785</v>
      </c>
      <c r="O15" s="465">
        <v>2.0766163170113603</v>
      </c>
      <c r="P15" s="465">
        <v>1.9261807403182789</v>
      </c>
      <c r="Q15" s="465">
        <v>1.7226376533185583</v>
      </c>
      <c r="R15" s="465">
        <v>1.7073941682477105</v>
      </c>
    </row>
    <row r="16" spans="2:24" ht="13.5" customHeight="1">
      <c r="B16" s="464" t="s">
        <v>919</v>
      </c>
      <c r="C16" s="464" t="s">
        <v>919</v>
      </c>
      <c r="D16" s="465">
        <v>0.44071990599947009</v>
      </c>
      <c r="E16" s="465">
        <v>0.50897077385908085</v>
      </c>
      <c r="F16" s="465">
        <v>1.528820757509652</v>
      </c>
      <c r="G16" s="465">
        <v>1.4743797869622834</v>
      </c>
      <c r="H16" s="465">
        <v>0.73063709098238794</v>
      </c>
      <c r="I16" s="465">
        <v>-0.27186196527105061</v>
      </c>
      <c r="J16" s="465">
        <v>-4.9168400561948742</v>
      </c>
      <c r="K16" s="465">
        <v>-4.8315526686699739</v>
      </c>
      <c r="L16" s="465">
        <v>-3.0972216369431935</v>
      </c>
      <c r="M16" s="465">
        <v>-2.7459199414319602</v>
      </c>
      <c r="N16" s="465">
        <v>-1.29352352823182</v>
      </c>
      <c r="O16" s="465">
        <v>-1.1084464634220408</v>
      </c>
      <c r="P16" s="465">
        <v>-1.1509737941179905</v>
      </c>
      <c r="Q16" s="465">
        <v>-1.216272604070499</v>
      </c>
      <c r="R16" s="465">
        <v>-1.3213129233429299</v>
      </c>
    </row>
    <row r="17" spans="2:18" ht="13.5" customHeight="1">
      <c r="B17" s="464" t="s">
        <v>451</v>
      </c>
      <c r="C17" s="464" t="s">
        <v>451</v>
      </c>
      <c r="D17" s="465">
        <v>2.9817801317673118</v>
      </c>
      <c r="E17" s="465">
        <v>0.23037894483745464</v>
      </c>
      <c r="F17" s="465">
        <v>0.11965700662188546</v>
      </c>
      <c r="G17" s="465">
        <v>0.66439396420591956</v>
      </c>
      <c r="H17" s="465">
        <v>-0.74978103145291797</v>
      </c>
      <c r="I17" s="465">
        <v>2.9490307755318033</v>
      </c>
      <c r="J17" s="465">
        <v>1.6936935297665747</v>
      </c>
      <c r="K17" s="465">
        <v>2.8103141811916754</v>
      </c>
      <c r="L17" s="465">
        <v>0.34555933567859959</v>
      </c>
      <c r="M17" s="465">
        <v>0.67432578341874805</v>
      </c>
      <c r="N17" s="465">
        <v>0.16703982612716156</v>
      </c>
      <c r="O17" s="465">
        <v>-0.12401871857508991</v>
      </c>
      <c r="P17" s="465">
        <v>-0.17167263868938523</v>
      </c>
      <c r="Q17" s="465">
        <v>-0.23595032552465667</v>
      </c>
      <c r="R17" s="465">
        <v>-0.34237888077219947</v>
      </c>
    </row>
    <row r="18" spans="2:18" ht="13.5" customHeight="1">
      <c r="B18" s="464" t="s">
        <v>423</v>
      </c>
      <c r="C18" s="464" t="s">
        <v>423</v>
      </c>
      <c r="D18" s="465">
        <v>1.2106941084602614</v>
      </c>
      <c r="E18" s="465">
        <v>0.78208783896976808</v>
      </c>
      <c r="F18" s="465">
        <v>-6.0781302172535009E-3</v>
      </c>
      <c r="G18" s="465">
        <v>-1.1247321249289941</v>
      </c>
      <c r="H18" s="465">
        <v>-1.1336050620351521</v>
      </c>
      <c r="I18" s="465">
        <v>-0.36378168881186224</v>
      </c>
      <c r="J18" s="465">
        <v>-4.9166124518511136</v>
      </c>
      <c r="K18" s="465">
        <v>-3.0369081535898101</v>
      </c>
      <c r="L18" s="465">
        <v>-0.56791053392084445</v>
      </c>
      <c r="M18" s="465">
        <v>-3.2799327500155129</v>
      </c>
      <c r="N18" s="465">
        <v>-2.6166807100063463</v>
      </c>
      <c r="O18" s="465">
        <v>-2.0762445305455435</v>
      </c>
      <c r="P18" s="465">
        <v>-1.439423418968949</v>
      </c>
      <c r="Q18" s="465">
        <v>-1.0957186039122757</v>
      </c>
      <c r="R18" s="465">
        <v>-0.99543071729847465</v>
      </c>
    </row>
    <row r="19" spans="2:18" ht="13.5" customHeight="1">
      <c r="B19" s="464" t="s">
        <v>481</v>
      </c>
      <c r="C19" s="464" t="s">
        <v>481</v>
      </c>
      <c r="D19" s="465">
        <v>-0.49317574492332844</v>
      </c>
      <c r="E19" s="465">
        <v>0.28498967521471591</v>
      </c>
      <c r="F19" s="465">
        <v>-6.8421824315176419E-2</v>
      </c>
      <c r="G19" s="465">
        <v>-0.64917843450122736</v>
      </c>
      <c r="H19" s="465">
        <v>-0.84404436042065101</v>
      </c>
      <c r="I19" s="465">
        <v>-1.1103233047802272</v>
      </c>
      <c r="J19" s="465">
        <v>-3.2347611118708706</v>
      </c>
      <c r="K19" s="465">
        <v>-2.1749908570937291</v>
      </c>
      <c r="L19" s="465">
        <v>-1.9541925020275002</v>
      </c>
      <c r="M19" s="465">
        <v>-1.8987354357846087</v>
      </c>
      <c r="N19" s="465">
        <v>-1.5967610779073742</v>
      </c>
      <c r="O19" s="465">
        <v>-2.066754805362784</v>
      </c>
      <c r="P19" s="465">
        <v>-2.3068181640501093</v>
      </c>
      <c r="Q19" s="465">
        <v>-2.3461121782743692</v>
      </c>
      <c r="R19" s="465">
        <v>-2.4584894818059944</v>
      </c>
    </row>
    <row r="20" spans="2:18" ht="13.5" customHeight="1">
      <c r="B20" s="464" t="s">
        <v>90</v>
      </c>
      <c r="C20" s="464" t="s">
        <v>90</v>
      </c>
      <c r="D20" s="465">
        <v>-0.50751028438441304</v>
      </c>
      <c r="E20" s="465">
        <v>-0.30868212856174049</v>
      </c>
      <c r="F20" s="465">
        <v>-0.30431447657021843</v>
      </c>
      <c r="G20" s="465">
        <v>-0.38312055606078271</v>
      </c>
      <c r="H20" s="465">
        <v>-0.18253195506321257</v>
      </c>
      <c r="I20" s="465">
        <v>-1.7070234058831659</v>
      </c>
      <c r="J20" s="465">
        <v>-4.7285460589369785</v>
      </c>
      <c r="K20" s="465">
        <v>-4.0170441395440433</v>
      </c>
      <c r="L20" s="465">
        <v>-2.5736685878398267</v>
      </c>
      <c r="M20" s="465">
        <v>-3.0149654573516806</v>
      </c>
      <c r="N20" s="465">
        <v>-2.3009709279054129</v>
      </c>
      <c r="O20" s="465">
        <v>-2.0802420319226247</v>
      </c>
      <c r="P20" s="465">
        <v>-1.80969203507955</v>
      </c>
      <c r="Q20" s="465">
        <v>-1.5264640873196482</v>
      </c>
      <c r="R20" s="465">
        <v>-1.4439452387519636</v>
      </c>
    </row>
    <row r="21" spans="2:18" ht="13.5" customHeight="1">
      <c r="B21" s="464" t="s">
        <v>91</v>
      </c>
      <c r="C21" s="464" t="s">
        <v>91</v>
      </c>
      <c r="D21" s="465">
        <v>2.0026326342951388</v>
      </c>
      <c r="E21" s="465">
        <v>2.2346172989874309</v>
      </c>
      <c r="F21" s="465">
        <v>2.0261068465716465</v>
      </c>
      <c r="G21" s="465">
        <v>1.6514727822000099</v>
      </c>
      <c r="H21" s="465">
        <v>2.2540533576260504</v>
      </c>
      <c r="I21" s="465">
        <v>1.8971775224366061</v>
      </c>
      <c r="J21" s="465">
        <v>-2.505277262907927</v>
      </c>
      <c r="K21" s="465">
        <v>-2.6169625055333658</v>
      </c>
      <c r="L21" s="465">
        <v>-2.28770605524406</v>
      </c>
      <c r="M21" s="465">
        <v>-2.4516823297868697</v>
      </c>
      <c r="N21" s="465">
        <v>-0.55337273748616767</v>
      </c>
      <c r="O21" s="465">
        <v>0.4537008261190224</v>
      </c>
      <c r="P21" s="465">
        <v>0.3310751778800648</v>
      </c>
      <c r="Q21" s="465">
        <v>0.4604599036129981</v>
      </c>
      <c r="R21" s="465">
        <v>0.45984386180194525</v>
      </c>
    </row>
    <row r="22" spans="2:18" ht="13.5" customHeight="1">
      <c r="B22" s="464" t="s">
        <v>425</v>
      </c>
      <c r="C22" s="464" t="s">
        <v>425</v>
      </c>
      <c r="D22" s="465">
        <v>7.4012234947522586</v>
      </c>
      <c r="E22" s="465">
        <v>7.4691501496181454</v>
      </c>
      <c r="F22" s="465">
        <v>9.7135217849169564</v>
      </c>
      <c r="G22" s="465">
        <v>9.311648077660406</v>
      </c>
      <c r="H22" s="465">
        <v>8.2970019152763523</v>
      </c>
      <c r="I22" s="465">
        <v>6.2627232055836037</v>
      </c>
      <c r="J22" s="465">
        <v>0.1160654870832399</v>
      </c>
      <c r="K22" s="465">
        <v>-1.8520872932602919</v>
      </c>
      <c r="L22" s="465">
        <v>-0.61683294105679465</v>
      </c>
      <c r="M22" s="465">
        <v>0.3443818310884208</v>
      </c>
      <c r="N22" s="465">
        <v>1.4887034659279736</v>
      </c>
      <c r="O22" s="465">
        <v>1.750355461058704</v>
      </c>
      <c r="P22" s="465">
        <v>2.1844860633014536</v>
      </c>
      <c r="Q22" s="465">
        <v>2.6006800303753486</v>
      </c>
      <c r="R22" s="465">
        <v>2.7395541876036922</v>
      </c>
    </row>
    <row r="23" spans="2:18" ht="13.5" customHeight="1">
      <c r="B23" s="464" t="s">
        <v>920</v>
      </c>
      <c r="C23" s="464" t="s">
        <v>920</v>
      </c>
      <c r="D23" s="465">
        <v>3.5941582516435902</v>
      </c>
      <c r="E23" s="465">
        <v>0.67296456748857625</v>
      </c>
      <c r="F23" s="465">
        <v>3.8840592774639102</v>
      </c>
      <c r="G23" s="465">
        <v>4.6777854474886551</v>
      </c>
      <c r="H23" s="465">
        <v>0.93557677310558696</v>
      </c>
      <c r="I23" s="465">
        <v>-1.2840322981181502</v>
      </c>
      <c r="J23" s="465">
        <v>-7.2562325860465986</v>
      </c>
      <c r="K23" s="465">
        <v>-1.6966515899486698</v>
      </c>
      <c r="L23" s="465">
        <v>-8.1659806319057413</v>
      </c>
      <c r="M23" s="465">
        <v>-4.7766819895023893</v>
      </c>
      <c r="N23" s="465">
        <v>-1.6061705488719307</v>
      </c>
      <c r="O23" s="465">
        <v>-0.78600437772882237</v>
      </c>
      <c r="P23" s="465">
        <v>-0.27234158266691849</v>
      </c>
      <c r="Q23" s="465">
        <v>-0.35033251222860928</v>
      </c>
      <c r="R23" s="465">
        <v>-0.47562545896897118</v>
      </c>
    </row>
    <row r="24" spans="2:18" ht="13.5" customHeight="1">
      <c r="B24" s="483" t="s">
        <v>921</v>
      </c>
      <c r="C24" s="464" t="s">
        <v>921</v>
      </c>
      <c r="D24" s="465">
        <v>4.5803243180117015</v>
      </c>
      <c r="E24" s="465">
        <v>3.7450113250239623</v>
      </c>
      <c r="F24" s="465">
        <v>14.91106654981259</v>
      </c>
      <c r="G24" s="465">
        <v>3.1852550011648195</v>
      </c>
      <c r="H24" s="465">
        <v>1.2610101140951138</v>
      </c>
      <c r="I24" s="465">
        <v>-1.303802510190663</v>
      </c>
      <c r="J24" s="465">
        <v>-3.7730239302414983</v>
      </c>
      <c r="K24" s="465">
        <v>-4.9495353805850106</v>
      </c>
      <c r="L24" s="465">
        <v>-2.3711441017881643</v>
      </c>
      <c r="M24" s="465">
        <v>0.63639835956579904</v>
      </c>
      <c r="N24" s="465">
        <v>1.2301011484483493</v>
      </c>
      <c r="O24" s="465">
        <v>2.2768377797710206</v>
      </c>
      <c r="P24" s="465">
        <v>2.8709574851949133</v>
      </c>
      <c r="Q24" s="465">
        <v>2.8876170186066621</v>
      </c>
      <c r="R24" s="465">
        <v>2.425854517430861</v>
      </c>
    </row>
    <row r="25" spans="2:18" ht="13.5" customHeight="1">
      <c r="B25" s="464" t="s">
        <v>935</v>
      </c>
      <c r="C25" s="464" t="s">
        <v>429</v>
      </c>
      <c r="D25" s="465">
        <v>0.24995077628937934</v>
      </c>
      <c r="E25" s="465">
        <v>0.9828565134125018</v>
      </c>
      <c r="F25" s="465">
        <v>0.84599824927188805</v>
      </c>
      <c r="G25" s="465">
        <v>1.1832082931345622</v>
      </c>
      <c r="H25" s="465">
        <v>1.4414241142074025</v>
      </c>
      <c r="I25" s="465">
        <v>1.6308906519492568</v>
      </c>
      <c r="J25" s="465">
        <v>-3.4033738635289539</v>
      </c>
      <c r="K25" s="465">
        <v>-1.2828854397574161</v>
      </c>
      <c r="L25" s="465">
        <v>1.6606285525122346</v>
      </c>
      <c r="M25" s="465">
        <v>1.936839495715452</v>
      </c>
      <c r="N25" s="465">
        <v>1.8751448838288463</v>
      </c>
      <c r="O25" s="465">
        <v>1.5992569002669439</v>
      </c>
      <c r="P25" s="465">
        <v>1.6689795893787014</v>
      </c>
      <c r="Q25" s="465">
        <v>1.6558053679793774</v>
      </c>
      <c r="R25" s="465">
        <v>1.3712088945592769</v>
      </c>
    </row>
    <row r="26" spans="2:18" ht="13.5" customHeight="1">
      <c r="B26" s="464" t="s">
        <v>923</v>
      </c>
      <c r="C26" s="464" t="s">
        <v>923</v>
      </c>
      <c r="D26" s="465">
        <v>-0.41866301700850972</v>
      </c>
      <c r="E26" s="465">
        <v>0.93628356583476768</v>
      </c>
      <c r="F26" s="465">
        <v>0.29842712988245329</v>
      </c>
      <c r="G26" s="465">
        <v>0.65007457501278976</v>
      </c>
      <c r="H26" s="465">
        <v>-1.6565770576436836</v>
      </c>
      <c r="I26" s="465">
        <v>-2.3566540835941265</v>
      </c>
      <c r="J26" s="465">
        <v>-7.7109786906378996</v>
      </c>
      <c r="K26" s="465">
        <v>-0.87667179420927843</v>
      </c>
      <c r="L26" s="465">
        <v>1.7186764834168138</v>
      </c>
      <c r="M26" s="465">
        <v>0.41384719976704631</v>
      </c>
      <c r="N26" s="465">
        <v>0.3279122588162785</v>
      </c>
      <c r="O26" s="465">
        <v>-0.79187348877264607</v>
      </c>
      <c r="P26" s="465">
        <v>-0.9970642933601549</v>
      </c>
      <c r="Q26" s="465">
        <v>-0.95104167241103055</v>
      </c>
      <c r="R26" s="465">
        <v>-0.88147412268095049</v>
      </c>
    </row>
    <row r="27" spans="2:18" ht="13.5" customHeight="1">
      <c r="B27" s="464" t="s">
        <v>92</v>
      </c>
      <c r="C27" s="464" t="s">
        <v>92</v>
      </c>
      <c r="D27" s="465">
        <v>3.5005868593529446</v>
      </c>
      <c r="E27" s="465">
        <v>3.2401307175035838</v>
      </c>
      <c r="F27" s="465">
        <v>2.7747582269864344</v>
      </c>
      <c r="G27" s="465">
        <v>2.0488411936490278</v>
      </c>
      <c r="H27" s="465">
        <v>1.8807214078680912</v>
      </c>
      <c r="I27" s="465">
        <v>2.174731421289652</v>
      </c>
      <c r="J27" s="465">
        <v>-3.0500598007783015</v>
      </c>
      <c r="K27" s="465">
        <v>-3.4910748193094969</v>
      </c>
      <c r="L27" s="465">
        <v>-3.8903341100854005</v>
      </c>
      <c r="M27" s="465">
        <v>0.29567615023224336</v>
      </c>
      <c r="N27" s="465">
        <v>0.89576074002785111</v>
      </c>
      <c r="O27" s="465">
        <v>1.409482907036177</v>
      </c>
      <c r="P27" s="465">
        <v>1.9402234950359605</v>
      </c>
      <c r="Q27" s="465">
        <v>2.4166824297901064</v>
      </c>
      <c r="R27" s="465">
        <v>2.9637836529343708</v>
      </c>
    </row>
    <row r="28" spans="2:18" ht="13.5" customHeight="1">
      <c r="B28" s="464" t="s">
        <v>96</v>
      </c>
      <c r="C28" s="464" t="s">
        <v>96</v>
      </c>
      <c r="D28" s="465">
        <v>-4.8782675943894125</v>
      </c>
      <c r="E28" s="465">
        <v>-3.448798289811688</v>
      </c>
      <c r="F28" s="465">
        <v>-3.3816266830577058</v>
      </c>
      <c r="G28" s="465">
        <v>-2.7095254320552367</v>
      </c>
      <c r="H28" s="465">
        <v>-2.2389090344876803</v>
      </c>
      <c r="I28" s="465">
        <v>-2.6462992639552652</v>
      </c>
      <c r="J28" s="465">
        <v>-7.5126086931182723</v>
      </c>
      <c r="K28" s="465">
        <v>-5.6106562125776884</v>
      </c>
      <c r="L28" s="465">
        <v>-7.4211539967079885</v>
      </c>
      <c r="M28" s="465">
        <v>-6.2182153082851368</v>
      </c>
      <c r="N28" s="465">
        <v>-3.94679467604176</v>
      </c>
      <c r="O28" s="465">
        <v>-2.7668640732628891</v>
      </c>
      <c r="P28" s="465">
        <v>-2.8853816898266804</v>
      </c>
      <c r="Q28" s="465">
        <v>-3.0519884034864204</v>
      </c>
      <c r="R28" s="465">
        <v>-3.2228240164872459</v>
      </c>
    </row>
    <row r="29" spans="2:18" ht="13.5" customHeight="1">
      <c r="B29" s="464" t="s">
        <v>283</v>
      </c>
      <c r="C29" s="464" t="s">
        <v>283</v>
      </c>
      <c r="D29" s="465">
        <v>0.29955403800250269</v>
      </c>
      <c r="E29" s="465">
        <v>0.39962664893586769</v>
      </c>
      <c r="F29" s="465">
        <v>1.5299237123525198</v>
      </c>
      <c r="G29" s="465">
        <v>1.9547000759115734</v>
      </c>
      <c r="H29" s="465">
        <v>2.2187562540925851</v>
      </c>
      <c r="I29" s="465">
        <v>2.9039276492710219E-2</v>
      </c>
      <c r="J29" s="465">
        <v>-1.9903926695125589</v>
      </c>
      <c r="K29" s="465">
        <v>-0.27816916272736636</v>
      </c>
      <c r="L29" s="465">
        <v>-1.1340767591279532</v>
      </c>
      <c r="M29" s="465">
        <v>2.637993203773014E-2</v>
      </c>
      <c r="N29" s="465">
        <v>-0.16317449525594835</v>
      </c>
      <c r="O29" s="465">
        <v>-7.8164847495609646E-2</v>
      </c>
      <c r="P29" s="465">
        <v>-6.0940152639227828E-2</v>
      </c>
      <c r="Q29" s="465">
        <v>-6.0861714826682893E-2</v>
      </c>
      <c r="R29" s="465">
        <v>-4.0252457489673557E-2</v>
      </c>
    </row>
    <row r="30" spans="2:18" ht="13.5" customHeight="1">
      <c r="B30" s="464" t="s">
        <v>442</v>
      </c>
      <c r="C30" s="464" t="s">
        <v>442</v>
      </c>
      <c r="D30" s="465">
        <v>0.38892434963819267</v>
      </c>
      <c r="E30" s="465">
        <v>0.62681288674290048</v>
      </c>
      <c r="F30" s="465">
        <v>0.8823997790160435</v>
      </c>
      <c r="G30" s="465">
        <v>-7.167109412320595E-2</v>
      </c>
      <c r="H30" s="465">
        <v>-0.50312985220911044</v>
      </c>
      <c r="I30" s="465">
        <v>-0.27829322632963516</v>
      </c>
      <c r="J30" s="465">
        <v>-2.0347674306451786</v>
      </c>
      <c r="K30" s="465">
        <v>-4.2546498240864228</v>
      </c>
      <c r="L30" s="465">
        <v>-2.6666868434025153</v>
      </c>
      <c r="M30" s="465">
        <v>-3.3203897762109587</v>
      </c>
      <c r="N30" s="465">
        <v>-0.8294680013599256</v>
      </c>
      <c r="O30" s="465">
        <v>-1.877961696364117</v>
      </c>
      <c r="P30" s="465">
        <v>-0.40389320572746368</v>
      </c>
      <c r="Q30" s="465">
        <v>0.24918848307868158</v>
      </c>
      <c r="R30" s="465">
        <v>0.28189010184265856</v>
      </c>
    </row>
    <row r="31" spans="2:18" ht="13.5" customHeight="1">
      <c r="B31" s="464" t="s">
        <v>433</v>
      </c>
      <c r="C31" s="464" t="s">
        <v>433</v>
      </c>
      <c r="D31" s="465">
        <v>1.1924468782339988</v>
      </c>
      <c r="E31" s="465">
        <v>1.5520831180732684</v>
      </c>
      <c r="F31" s="465">
        <v>1.8984227193630847</v>
      </c>
      <c r="G31" s="465">
        <v>1.6291916668870703</v>
      </c>
      <c r="H31" s="465">
        <v>1.3852547058715028</v>
      </c>
      <c r="I31" s="465">
        <v>0.86192741482630786</v>
      </c>
      <c r="J31" s="465">
        <v>-6.2097017682724909</v>
      </c>
      <c r="K31" s="465">
        <v>-1.5520599878209589</v>
      </c>
      <c r="L31" s="465">
        <v>-1.5900609392533884</v>
      </c>
      <c r="M31" s="465">
        <v>-4.2381868717927773</v>
      </c>
      <c r="N31" s="465">
        <v>-2.613456197973957</v>
      </c>
      <c r="O31" s="465">
        <v>-1.4038603244889873</v>
      </c>
      <c r="P31" s="465">
        <v>-0.85500391424618383</v>
      </c>
      <c r="Q31" s="465">
        <v>-0.43598255553402548</v>
      </c>
      <c r="R31" s="465">
        <v>-0.33995395870093531</v>
      </c>
    </row>
    <row r="32" spans="2:18" ht="13.5" customHeight="1">
      <c r="B32" s="464" t="s">
        <v>440</v>
      </c>
      <c r="C32" s="464" t="s">
        <v>440</v>
      </c>
      <c r="D32" s="465">
        <v>1.1140904834894114</v>
      </c>
      <c r="E32" s="465">
        <v>1.244424700064668</v>
      </c>
      <c r="F32" s="465">
        <v>0.83444553849399317</v>
      </c>
      <c r="G32" s="465">
        <v>0.81838487488437683</v>
      </c>
      <c r="H32" s="465">
        <v>2.7726861034426302</v>
      </c>
      <c r="I32" s="465">
        <v>1.8442918891369069</v>
      </c>
      <c r="J32" s="465">
        <v>-2.8103165965304635</v>
      </c>
      <c r="K32" s="465">
        <v>0.11021447950164544</v>
      </c>
      <c r="L32" s="465">
        <v>-0.66153999391055829</v>
      </c>
      <c r="M32" s="465">
        <v>-3.1157901277807025</v>
      </c>
      <c r="N32" s="465">
        <v>-2.0358319216172056</v>
      </c>
      <c r="O32" s="465">
        <v>-1.4113136891558631</v>
      </c>
      <c r="P32" s="465">
        <v>-1.061315405136841</v>
      </c>
      <c r="Q32" s="465">
        <v>-1.1604665460532331</v>
      </c>
      <c r="R32" s="465">
        <v>-1.2778523163029585</v>
      </c>
    </row>
    <row r="33" spans="2:24" ht="13.5" customHeight="1">
      <c r="B33" s="464" t="s">
        <v>437</v>
      </c>
      <c r="C33" s="464" t="s">
        <v>437</v>
      </c>
      <c r="D33" s="465">
        <v>1.3073877910107583</v>
      </c>
      <c r="E33" s="465">
        <v>0.21810277472056389</v>
      </c>
      <c r="F33" s="465">
        <v>2.8612994591419003</v>
      </c>
      <c r="G33" s="465">
        <v>4.9084152276494901</v>
      </c>
      <c r="H33" s="465">
        <v>3.0181573222081712</v>
      </c>
      <c r="I33" s="465">
        <v>1.5972312275013885</v>
      </c>
      <c r="J33" s="465">
        <v>-4.4608741226301607</v>
      </c>
      <c r="K33" s="465">
        <v>-5.430431539707393</v>
      </c>
      <c r="L33" s="465">
        <v>-4.4730525769414813</v>
      </c>
      <c r="M33" s="465">
        <v>-3.8655699492747284</v>
      </c>
      <c r="N33" s="465">
        <v>-2.4690968350803533</v>
      </c>
      <c r="O33" s="465">
        <v>-1.3694834023794054</v>
      </c>
      <c r="P33" s="465">
        <v>-0.89962132804909045</v>
      </c>
      <c r="Q33" s="465">
        <v>-0.9083395466109877</v>
      </c>
      <c r="R33" s="465">
        <v>-0.9153673886055681</v>
      </c>
    </row>
    <row r="34" spans="2:24" ht="13.5" customHeight="1">
      <c r="B34" s="464" t="s">
        <v>441</v>
      </c>
      <c r="C34" s="464" t="s">
        <v>448</v>
      </c>
      <c r="D34" s="465">
        <v>0.67168384060993025</v>
      </c>
      <c r="E34" s="465">
        <v>0.43201279985160268</v>
      </c>
      <c r="F34" s="465">
        <v>1.9799190752424496</v>
      </c>
      <c r="G34" s="465">
        <v>2.3745048337320922</v>
      </c>
      <c r="H34" s="465">
        <v>1.8027947691627955</v>
      </c>
      <c r="I34" s="465">
        <v>1.8594709275510231</v>
      </c>
      <c r="J34" s="465">
        <v>-0.51849229784190287</v>
      </c>
      <c r="K34" s="465">
        <v>-1.423716464001896</v>
      </c>
      <c r="L34" s="465">
        <v>-1.8963004320136891</v>
      </c>
      <c r="M34" s="465">
        <v>-3.0616664197829717</v>
      </c>
      <c r="N34" s="465">
        <v>-2.3357093597436389</v>
      </c>
      <c r="O34" s="465">
        <v>-2.0155783504462392</v>
      </c>
      <c r="P34" s="465">
        <v>-1.5686727084066661</v>
      </c>
      <c r="Q34" s="465">
        <v>-1.4367329239452724</v>
      </c>
      <c r="R34" s="465">
        <v>-1.3371136510286594</v>
      </c>
    </row>
    <row r="35" spans="2:24" ht="13.5" customHeight="1">
      <c r="B35" s="464" t="s">
        <v>924</v>
      </c>
      <c r="C35" s="464" t="s">
        <v>924</v>
      </c>
      <c r="D35" s="465">
        <v>1.0303997615772496</v>
      </c>
      <c r="E35" s="465">
        <v>1.3059470739817118</v>
      </c>
      <c r="F35" s="465">
        <v>1.6494226825007496</v>
      </c>
      <c r="G35" s="465">
        <v>1.7658878531558435</v>
      </c>
      <c r="H35" s="465">
        <v>1.5464907272363007</v>
      </c>
      <c r="I35" s="465">
        <v>-1.5577082246958385</v>
      </c>
      <c r="J35" s="465">
        <v>-3.6051410465116915</v>
      </c>
      <c r="K35" s="465">
        <v>-3.580753601842114</v>
      </c>
      <c r="L35" s="465">
        <v>-4.3520878392822402</v>
      </c>
      <c r="M35" s="465">
        <v>-3.2130426893359791</v>
      </c>
      <c r="N35" s="465">
        <v>-1.3781907623974723</v>
      </c>
      <c r="O35" s="465">
        <v>0.26348687711580482</v>
      </c>
      <c r="P35" s="465">
        <v>1.7205213050984602</v>
      </c>
      <c r="Q35" s="465">
        <v>2.0562112495738556</v>
      </c>
      <c r="R35" s="465">
        <v>1.7634510984164371</v>
      </c>
    </row>
    <row r="36" spans="2:24" ht="13.5" customHeight="1">
      <c r="B36" s="464" t="s">
        <v>936</v>
      </c>
      <c r="C36" s="464" t="s">
        <v>431</v>
      </c>
      <c r="D36" s="465">
        <v>-8.2027492991928028</v>
      </c>
      <c r="E36" s="465">
        <v>-9.5005214309893962</v>
      </c>
      <c r="F36" s="465">
        <v>-10.429097086985387</v>
      </c>
      <c r="G36" s="465">
        <v>-10.405812333444922</v>
      </c>
      <c r="H36" s="465">
        <v>-9.354698502615804</v>
      </c>
      <c r="I36" s="465">
        <v>-9.4581729613068344</v>
      </c>
      <c r="J36" s="465">
        <v>-13.997061159053281</v>
      </c>
      <c r="K36" s="465">
        <v>-10.804929975965031</v>
      </c>
      <c r="L36" s="465">
        <v>-8.6327825828463567</v>
      </c>
      <c r="M36" s="465">
        <v>-8.7534443178268102</v>
      </c>
      <c r="N36" s="465">
        <v>-8.6686653792917276</v>
      </c>
      <c r="O36" s="465">
        <v>-8.6436569589054493</v>
      </c>
      <c r="P36" s="465">
        <v>-8.6659239981346747</v>
      </c>
      <c r="Q36" s="465">
        <v>-8.6533719191006604</v>
      </c>
      <c r="R36" s="465">
        <v>-8.6368045553454351</v>
      </c>
      <c r="T36" s="472"/>
    </row>
    <row r="37" spans="2:24" ht="13.5" customHeight="1">
      <c r="B37" s="464" t="s">
        <v>443</v>
      </c>
      <c r="C37" s="464" t="s">
        <v>443</v>
      </c>
      <c r="D37" s="465">
        <v>1.391729337950272</v>
      </c>
      <c r="E37" s="465">
        <v>2.9435509289513715</v>
      </c>
      <c r="F37" s="465">
        <v>3.941908640096313</v>
      </c>
      <c r="G37" s="465">
        <v>1.2589768149471963</v>
      </c>
      <c r="H37" s="465">
        <v>2.6968479712034488</v>
      </c>
      <c r="I37" s="465">
        <v>2.1882989075464372</v>
      </c>
      <c r="J37" s="465">
        <v>-0.11618663570302097</v>
      </c>
      <c r="K37" s="465">
        <v>0.97038842997436359</v>
      </c>
      <c r="L37" s="465">
        <v>-0.86253196752480776</v>
      </c>
      <c r="M37" s="465">
        <v>0.65668040359842106</v>
      </c>
      <c r="N37" s="465">
        <v>0.83469272792706284</v>
      </c>
      <c r="O37" s="465">
        <v>0.81225057791273325</v>
      </c>
      <c r="P37" s="465">
        <v>1.0032821049626921</v>
      </c>
      <c r="Q37" s="465">
        <v>1.191452132094029</v>
      </c>
      <c r="R37" s="465">
        <v>1.2634990299413391</v>
      </c>
    </row>
    <row r="38" spans="2:24">
      <c r="B38" s="464" t="s">
        <v>925</v>
      </c>
      <c r="C38" s="464" t="s">
        <v>925</v>
      </c>
      <c r="D38" s="465" t="s">
        <v>139</v>
      </c>
      <c r="E38" s="465" t="s">
        <v>139</v>
      </c>
      <c r="F38" s="465" t="s">
        <v>139</v>
      </c>
      <c r="G38" s="465" t="s">
        <v>139</v>
      </c>
      <c r="H38" s="465" t="s">
        <v>139</v>
      </c>
      <c r="I38" s="465" t="s">
        <v>139</v>
      </c>
      <c r="J38" s="465" t="s">
        <v>139</v>
      </c>
      <c r="K38" s="465" t="s">
        <v>139</v>
      </c>
      <c r="L38" s="465" t="s">
        <v>139</v>
      </c>
      <c r="M38" s="465" t="s">
        <v>139</v>
      </c>
      <c r="N38" s="465" t="s">
        <v>139</v>
      </c>
      <c r="O38" s="465" t="s">
        <v>139</v>
      </c>
      <c r="P38" s="465" t="s">
        <v>139</v>
      </c>
      <c r="Q38" s="465" t="s">
        <v>139</v>
      </c>
      <c r="R38" s="465" t="s">
        <v>139</v>
      </c>
    </row>
    <row r="39" spans="2:24">
      <c r="B39" s="464" t="s">
        <v>449</v>
      </c>
      <c r="C39" s="464" t="s">
        <v>449</v>
      </c>
      <c r="D39" s="465">
        <v>-0.68311203138991705</v>
      </c>
      <c r="E39" s="465">
        <v>-1.7508009646679275</v>
      </c>
      <c r="F39" s="465">
        <v>-1.6453606981079598</v>
      </c>
      <c r="G39" s="465">
        <v>-0.28864726737221941</v>
      </c>
      <c r="H39" s="465">
        <v>-0.46995466150402154</v>
      </c>
      <c r="I39" s="465">
        <v>-0.62771371184243019</v>
      </c>
      <c r="J39" s="465">
        <v>-2.9530917486719308</v>
      </c>
      <c r="K39" s="465">
        <v>-4.0440178293576263</v>
      </c>
      <c r="L39" s="465">
        <v>-2.4263623183312579</v>
      </c>
      <c r="M39" s="465">
        <v>-3.7324264393613116</v>
      </c>
      <c r="N39" s="465">
        <v>-2.742563499617229</v>
      </c>
      <c r="O39" s="465">
        <v>-3.0005042585372457</v>
      </c>
      <c r="P39" s="465">
        <v>-2.6891600271176044</v>
      </c>
      <c r="Q39" s="465">
        <v>-2.6588904427013378</v>
      </c>
      <c r="R39" s="465">
        <v>-2.6195971451408533</v>
      </c>
    </row>
    <row r="40" spans="2:24">
      <c r="B40" s="464" t="s">
        <v>432</v>
      </c>
      <c r="C40" s="464" t="s">
        <v>432</v>
      </c>
      <c r="D40" s="465">
        <v>-1.6139138406368758</v>
      </c>
      <c r="E40" s="465">
        <v>0.84819813574563785</v>
      </c>
      <c r="F40" s="465">
        <v>0.80394985082532411</v>
      </c>
      <c r="G40" s="465">
        <v>2.1402598582448809</v>
      </c>
      <c r="H40" s="465">
        <v>2.39336320277092</v>
      </c>
      <c r="I40" s="465">
        <v>1.6684118303083557</v>
      </c>
      <c r="J40" s="465">
        <v>-4.9630748821667421</v>
      </c>
      <c r="K40" s="465">
        <v>-4.3439489973212719</v>
      </c>
      <c r="L40" s="465">
        <v>-3.6688661506399352</v>
      </c>
      <c r="M40" s="465">
        <v>-3.8302856252788446</v>
      </c>
      <c r="N40" s="465">
        <v>-1.805603204251728</v>
      </c>
      <c r="O40" s="465">
        <v>-1.3281934594703848</v>
      </c>
      <c r="P40" s="465">
        <v>-0.54217547848095127</v>
      </c>
      <c r="Q40" s="465">
        <v>-0.44753213455851787</v>
      </c>
      <c r="R40" s="465">
        <v>-0.2889221549233344</v>
      </c>
    </row>
    <row r="41" spans="2:24" ht="13.5">
      <c r="B41" s="464" t="s">
        <v>937</v>
      </c>
      <c r="C41" s="464" t="s">
        <v>94</v>
      </c>
      <c r="D41" s="465">
        <v>1.5776768098692404</v>
      </c>
      <c r="E41" s="465">
        <v>0.35367667569382222</v>
      </c>
      <c r="F41" s="465">
        <v>-0.16163435238914409</v>
      </c>
      <c r="G41" s="465">
        <v>-0.163487355278472</v>
      </c>
      <c r="H41" s="465">
        <v>2.2766417971846397E-3</v>
      </c>
      <c r="I41" s="465">
        <v>-0.98919689136510203</v>
      </c>
      <c r="J41" s="465">
        <v>-2.9144218436519953</v>
      </c>
      <c r="K41" s="465">
        <v>-2.165059569184268</v>
      </c>
      <c r="L41" s="465">
        <v>-2.1899808890154424</v>
      </c>
      <c r="M41" s="465">
        <v>-2.0739079043627995</v>
      </c>
      <c r="N41" s="465">
        <v>-1.1379124623826065</v>
      </c>
      <c r="O41" s="465">
        <v>-1.4147289091626887</v>
      </c>
      <c r="P41" s="465">
        <v>-1.5222906981257198</v>
      </c>
      <c r="Q41" s="465">
        <v>-1.5331574410343762</v>
      </c>
      <c r="R41" s="465">
        <v>-1.530433521467546</v>
      </c>
    </row>
    <row r="42" spans="2:24" ht="13.5">
      <c r="B42" s="464" t="s">
        <v>938</v>
      </c>
      <c r="C42" s="464" t="s">
        <v>422</v>
      </c>
      <c r="D42" s="465">
        <v>-0.78944167006719279</v>
      </c>
      <c r="E42" s="465">
        <v>-0.52733075023956644</v>
      </c>
      <c r="F42" s="465">
        <v>0.80745558447773214</v>
      </c>
      <c r="G42" s="465">
        <v>0.98481683657329211</v>
      </c>
      <c r="H42" s="465">
        <v>0.40170798774458683</v>
      </c>
      <c r="I42" s="465">
        <v>-0.10357915825903632</v>
      </c>
      <c r="J42" s="465">
        <v>-1.6042607951798122</v>
      </c>
      <c r="K42" s="465">
        <v>-0.25269561441088101</v>
      </c>
      <c r="L42" s="465">
        <v>0.49169810706286177</v>
      </c>
      <c r="M42" s="465">
        <v>0.79228026080867164</v>
      </c>
      <c r="N42" s="465">
        <v>0.64497649093417109</v>
      </c>
      <c r="O42" s="465">
        <v>0.61195226170113093</v>
      </c>
      <c r="P42" s="465">
        <v>0.66505346240041774</v>
      </c>
      <c r="Q42" s="465">
        <v>0.63785785620127611</v>
      </c>
      <c r="R42" s="465">
        <v>0.62741033105804878</v>
      </c>
    </row>
    <row r="43" spans="2:24" ht="13.5">
      <c r="B43" s="464" t="s">
        <v>939</v>
      </c>
      <c r="C43" s="464" t="s">
        <v>926</v>
      </c>
      <c r="D43" s="465">
        <v>1.3821121603847219E-2</v>
      </c>
      <c r="E43" s="465">
        <v>0.78467785216038211</v>
      </c>
      <c r="F43" s="465">
        <v>0.42522347177570391</v>
      </c>
      <c r="G43" s="465">
        <v>1.2998561016126837</v>
      </c>
      <c r="H43" s="465">
        <v>1.1693103352451046</v>
      </c>
      <c r="I43" s="465">
        <v>1.2856277404955707</v>
      </c>
      <c r="J43" s="465">
        <v>-2.2750647712693413</v>
      </c>
      <c r="K43" s="465">
        <v>-0.22286284590646546</v>
      </c>
      <c r="L43" s="465">
        <v>0.18931290981735671</v>
      </c>
      <c r="M43" s="465">
        <v>0.45576069606017594</v>
      </c>
      <c r="N43" s="465">
        <v>0.27592709081177125</v>
      </c>
      <c r="O43" s="465">
        <v>0.22008965921611032</v>
      </c>
      <c r="P43" s="465">
        <v>0.14726995830843709</v>
      </c>
      <c r="Q43" s="465">
        <v>0.13808702211410029</v>
      </c>
      <c r="R43" s="465">
        <v>0.12815751705474526</v>
      </c>
    </row>
    <row r="44" spans="2:24" ht="13.5">
      <c r="B44" s="464" t="s">
        <v>940</v>
      </c>
      <c r="C44" s="464" t="s">
        <v>97</v>
      </c>
      <c r="D44" s="465">
        <v>-1.2089426078126879</v>
      </c>
      <c r="E44" s="465">
        <v>-1.1184382374723196</v>
      </c>
      <c r="F44" s="465">
        <v>-9.0766383503346315E-2</v>
      </c>
      <c r="G44" s="465">
        <v>0.459340775966666</v>
      </c>
      <c r="H44" s="465">
        <v>0.21677053826284443</v>
      </c>
      <c r="I44" s="465">
        <v>-0.30073679058947322</v>
      </c>
      <c r="J44" s="465">
        <v>-9.694572267263684</v>
      </c>
      <c r="K44" s="465">
        <v>-5.4800559283895769</v>
      </c>
      <c r="L44" s="465">
        <v>-3.7197604122193231</v>
      </c>
      <c r="M44" s="465">
        <v>-3.2860551780075595</v>
      </c>
      <c r="N44" s="465">
        <v>-1.9913506679993915</v>
      </c>
      <c r="O44" s="465">
        <v>-1.7514701449168435</v>
      </c>
      <c r="P44" s="465">
        <v>-1.8460651451217347</v>
      </c>
      <c r="Q44" s="465">
        <v>-1.9663596436248556</v>
      </c>
      <c r="R44" s="465">
        <v>-1.9385385943175146</v>
      </c>
    </row>
    <row r="45" spans="2:24" ht="13.5">
      <c r="B45" s="466" t="s">
        <v>941</v>
      </c>
      <c r="C45" s="466" t="s">
        <v>99</v>
      </c>
      <c r="D45" s="467">
        <v>-0.77586387346814034</v>
      </c>
      <c r="E45" s="467">
        <v>-0.74622817981240019</v>
      </c>
      <c r="F45" s="467">
        <v>-1.6353341539296364</v>
      </c>
      <c r="G45" s="467">
        <v>-2.3243898195648609</v>
      </c>
      <c r="H45" s="467">
        <v>-2.8714448171506937</v>
      </c>
      <c r="I45" s="467">
        <v>-3.6761876133543177</v>
      </c>
      <c r="J45" s="467">
        <v>-8.6495625688443969</v>
      </c>
      <c r="K45" s="467">
        <v>-8.3428466564151904</v>
      </c>
      <c r="L45" s="467">
        <v>-3.7821686925217977</v>
      </c>
      <c r="M45" s="467">
        <v>-4.1197290692155182</v>
      </c>
      <c r="N45" s="467">
        <v>-3.9568538861828531</v>
      </c>
      <c r="O45" s="467">
        <v>-4.0596529956922334</v>
      </c>
      <c r="P45" s="467">
        <v>-3.7460069256841755</v>
      </c>
      <c r="Q45" s="467">
        <v>-3.4493609606055271</v>
      </c>
      <c r="R45" s="467">
        <v>-3.5345036773035821</v>
      </c>
      <c r="T45" s="471"/>
      <c r="U45" s="472"/>
      <c r="V45" s="472"/>
      <c r="W45" s="472"/>
      <c r="X45" s="472"/>
    </row>
    <row r="46" spans="2:24" ht="6" customHeight="1">
      <c r="B46" s="464"/>
      <c r="C46" s="464"/>
      <c r="D46" s="465"/>
      <c r="E46" s="465"/>
      <c r="F46" s="465"/>
      <c r="G46" s="465"/>
      <c r="H46" s="465"/>
      <c r="I46" s="465"/>
      <c r="J46" s="465"/>
      <c r="K46" s="465"/>
      <c r="L46" s="465"/>
      <c r="M46" s="465"/>
      <c r="N46" s="465"/>
      <c r="O46" s="465"/>
      <c r="P46" s="465"/>
      <c r="Q46" s="465"/>
      <c r="R46" s="465"/>
      <c r="T46" s="472"/>
      <c r="U46" s="472"/>
      <c r="V46" s="472"/>
      <c r="W46" s="472"/>
      <c r="X46" s="472"/>
    </row>
    <row r="47" spans="2:24" ht="10.5" customHeight="1">
      <c r="B47" s="613" t="s">
        <v>927</v>
      </c>
      <c r="C47" s="613"/>
      <c r="D47" s="613"/>
      <c r="E47" s="613"/>
      <c r="F47" s="613"/>
      <c r="G47" s="613"/>
      <c r="H47" s="613"/>
      <c r="I47" s="613"/>
      <c r="J47" s="613"/>
      <c r="K47" s="613"/>
      <c r="L47" s="613"/>
      <c r="M47" s="613"/>
      <c r="N47" s="613"/>
      <c r="O47" s="613"/>
      <c r="P47" s="613"/>
      <c r="Q47" s="613"/>
      <c r="R47" s="613"/>
      <c r="T47" s="472"/>
      <c r="U47" s="472"/>
      <c r="V47" s="472"/>
      <c r="W47" s="472"/>
      <c r="X47" s="472"/>
    </row>
    <row r="48" spans="2:24" ht="25.9" customHeight="1">
      <c r="B48" s="615" t="s">
        <v>945</v>
      </c>
      <c r="C48" s="615"/>
      <c r="D48" s="615"/>
      <c r="E48" s="615"/>
      <c r="F48" s="615"/>
      <c r="G48" s="615"/>
      <c r="H48" s="615"/>
      <c r="I48" s="615"/>
      <c r="J48" s="615"/>
      <c r="K48" s="615"/>
      <c r="L48" s="615"/>
      <c r="M48" s="615"/>
      <c r="N48" s="615"/>
      <c r="O48" s="615"/>
      <c r="P48" s="615"/>
      <c r="Q48" s="615"/>
      <c r="R48" s="615"/>
    </row>
    <row r="49" spans="2:18" ht="2.25" hidden="1" customHeight="1">
      <c r="B49" s="614"/>
      <c r="C49" s="614"/>
      <c r="D49" s="614"/>
      <c r="E49" s="614"/>
      <c r="F49" s="614"/>
      <c r="G49" s="614"/>
      <c r="H49" s="614"/>
      <c r="I49" s="614"/>
      <c r="J49" s="614"/>
      <c r="K49" s="614"/>
      <c r="L49" s="614"/>
      <c r="M49" s="614"/>
      <c r="N49" s="614"/>
      <c r="O49" s="614"/>
      <c r="P49" s="614"/>
      <c r="Q49" s="614"/>
      <c r="R49" s="614"/>
    </row>
    <row r="50" spans="2:18" hidden="1">
      <c r="B50" s="614"/>
      <c r="C50" s="614"/>
      <c r="D50" s="614"/>
      <c r="E50" s="614"/>
      <c r="F50" s="614"/>
      <c r="G50" s="614"/>
      <c r="H50" s="614"/>
      <c r="I50" s="614"/>
      <c r="J50" s="614"/>
      <c r="K50" s="614"/>
      <c r="L50" s="614"/>
      <c r="M50" s="614"/>
      <c r="N50" s="614"/>
      <c r="O50" s="614"/>
      <c r="P50" s="614"/>
      <c r="Q50" s="614"/>
      <c r="R50" s="614"/>
    </row>
    <row r="51" spans="2:18" ht="13.5">
      <c r="B51" s="464" t="s">
        <v>942</v>
      </c>
      <c r="C51" s="484"/>
      <c r="D51" s="484"/>
      <c r="E51" s="484"/>
      <c r="F51" s="484"/>
      <c r="G51" s="484"/>
      <c r="H51" s="484"/>
      <c r="I51" s="484"/>
      <c r="J51" s="484"/>
      <c r="K51" s="484"/>
      <c r="L51" s="484"/>
      <c r="M51" s="484"/>
      <c r="N51" s="484"/>
      <c r="O51" s="484"/>
      <c r="P51" s="484"/>
      <c r="Q51" s="484"/>
      <c r="R51" s="484"/>
    </row>
    <row r="52" spans="2:18" ht="12" customHeight="1">
      <c r="B52" s="613" t="s">
        <v>946</v>
      </c>
      <c r="C52" s="613"/>
      <c r="D52" s="613"/>
      <c r="E52" s="613"/>
      <c r="F52" s="613"/>
      <c r="G52" s="613"/>
      <c r="H52" s="613"/>
      <c r="I52" s="613"/>
      <c r="J52" s="613"/>
      <c r="K52" s="613"/>
      <c r="L52" s="613"/>
      <c r="M52" s="613"/>
      <c r="N52" s="613"/>
      <c r="O52" s="613"/>
      <c r="P52" s="613"/>
      <c r="Q52" s="613"/>
      <c r="R52" s="613"/>
    </row>
    <row r="53" spans="2:18" ht="41.25" customHeight="1">
      <c r="B53" s="614" t="s">
        <v>947</v>
      </c>
      <c r="C53" s="614"/>
      <c r="D53" s="614"/>
      <c r="E53" s="614"/>
      <c r="F53" s="614"/>
      <c r="G53" s="614"/>
      <c r="H53" s="614"/>
      <c r="I53" s="614"/>
      <c r="J53" s="614"/>
      <c r="K53" s="614"/>
      <c r="L53" s="614"/>
      <c r="M53" s="614"/>
      <c r="N53" s="614"/>
      <c r="O53" s="614"/>
      <c r="P53" s="614"/>
      <c r="Q53" s="614"/>
      <c r="R53" s="614"/>
    </row>
    <row r="54" spans="2:18">
      <c r="C54" s="464"/>
      <c r="D54" s="469"/>
      <c r="E54" s="469"/>
      <c r="F54" s="469"/>
      <c r="G54" s="469"/>
      <c r="H54" s="469"/>
      <c r="I54" s="469"/>
      <c r="J54" s="469"/>
      <c r="K54" s="469"/>
      <c r="L54" s="469"/>
      <c r="M54" s="469"/>
      <c r="N54" s="469"/>
      <c r="O54" s="469"/>
      <c r="P54" s="469"/>
      <c r="Q54" s="469"/>
      <c r="R54" s="469"/>
    </row>
    <row r="55" spans="2:18">
      <c r="B55" s="464"/>
      <c r="C55" s="464"/>
      <c r="D55" s="469"/>
      <c r="E55" s="469"/>
      <c r="F55" s="469"/>
      <c r="G55" s="469"/>
      <c r="H55" s="469"/>
      <c r="I55" s="469"/>
      <c r="J55" s="469"/>
      <c r="K55" s="469"/>
      <c r="L55" s="469"/>
      <c r="M55" s="469"/>
      <c r="N55" s="469"/>
      <c r="O55" s="469"/>
      <c r="P55" s="469"/>
      <c r="Q55" s="469"/>
      <c r="R55" s="469"/>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row r="80" spans="2:18">
      <c r="B80" s="464"/>
      <c r="C80" s="464"/>
      <c r="D80" s="469"/>
      <c r="E80" s="469"/>
      <c r="F80" s="469"/>
      <c r="G80" s="469"/>
      <c r="H80" s="469"/>
      <c r="I80" s="469"/>
      <c r="J80" s="469"/>
      <c r="K80" s="469"/>
      <c r="L80" s="469"/>
      <c r="M80" s="469"/>
      <c r="N80" s="469"/>
      <c r="O80" s="469"/>
      <c r="P80" s="469"/>
      <c r="Q80" s="469"/>
      <c r="R80" s="469"/>
    </row>
  </sheetData>
  <mergeCells count="6">
    <mergeCell ref="B53:R53"/>
    <mergeCell ref="B2:R2"/>
    <mergeCell ref="B47:R47"/>
    <mergeCell ref="B48:R48"/>
    <mergeCell ref="B49:R50"/>
    <mergeCell ref="B52:R52"/>
  </mergeCells>
  <conditionalFormatting sqref="B9:R45">
    <cfRule type="expression" dxfId="40" priority="1">
      <formula>MOD(ROW(),2)=0</formula>
    </cfRule>
  </conditionalFormatting>
  <pageMargins left="0.7" right="0.7" top="0.75" bottom="0.75" header="0.3" footer="0.3"/>
  <pageSetup scale="1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9B1F-2BD7-4A1F-A305-7143D1755550}">
  <sheetPr codeName="Sheet8">
    <pageSetUpPr fitToPage="1"/>
  </sheetPr>
  <dimension ref="B2:R79"/>
  <sheetViews>
    <sheetView topLeftCell="A28" zoomScaleNormal="100" workbookViewId="0">
      <selection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8.7109375" style="452" customWidth="1" collapsed="1"/>
    <col min="5" max="14" width="8.7109375" style="452" customWidth="1"/>
    <col min="15" max="18" width="8.140625" style="452" customWidth="1"/>
    <col min="19" max="16384" width="9.140625" style="451"/>
  </cols>
  <sheetData>
    <row r="2" spans="2:18" ht="15.75" customHeight="1">
      <c r="B2" s="616" t="str">
        <f>"Table A5. Advanced Economies: General Government Revenue, "&amp;$D$4&amp;"–"&amp;RIGHT($R$4,2)</f>
        <v>Table A5. Advanced Economies: General Government Revenue, 2014–28</v>
      </c>
      <c r="C2" s="616"/>
      <c r="D2" s="616"/>
      <c r="E2" s="616"/>
      <c r="F2" s="616"/>
      <c r="G2" s="616"/>
      <c r="H2" s="616"/>
      <c r="I2" s="616"/>
      <c r="J2" s="616"/>
      <c r="K2" s="616"/>
      <c r="L2" s="616"/>
      <c r="M2" s="616"/>
      <c r="N2" s="616"/>
      <c r="O2" s="485"/>
      <c r="P2" s="485"/>
      <c r="Q2" s="485"/>
      <c r="R2" s="485"/>
    </row>
    <row r="3" spans="2:18" ht="15.75">
      <c r="B3" s="454" t="s">
        <v>81</v>
      </c>
      <c r="C3" s="455"/>
      <c r="D3" s="455"/>
      <c r="E3" s="455"/>
      <c r="F3" s="455"/>
      <c r="G3" s="455"/>
      <c r="H3" s="455"/>
      <c r="I3" s="455"/>
      <c r="J3" s="455"/>
      <c r="K3" s="455"/>
      <c r="L3" s="455"/>
      <c r="M3" s="455"/>
      <c r="N3" s="455"/>
      <c r="O3" s="455"/>
      <c r="P3" s="455"/>
      <c r="Q3" s="455"/>
      <c r="R3" s="482"/>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c r="B5" s="459" t="s">
        <v>196</v>
      </c>
      <c r="C5" s="460" t="s">
        <v>84</v>
      </c>
      <c r="D5" s="461">
        <v>36.518291059975887</v>
      </c>
      <c r="E5" s="461">
        <v>36.149115177147145</v>
      </c>
      <c r="F5" s="461">
        <v>35.986455282908508</v>
      </c>
      <c r="G5" s="461">
        <v>35.864908075133741</v>
      </c>
      <c r="H5" s="461">
        <v>35.950958251498854</v>
      </c>
      <c r="I5" s="461">
        <v>35.702291152747598</v>
      </c>
      <c r="J5" s="461">
        <v>36.112019683853006</v>
      </c>
      <c r="K5" s="461">
        <v>36.958767270273107</v>
      </c>
      <c r="L5" s="461">
        <v>37.388441309755521</v>
      </c>
      <c r="M5" s="461">
        <v>36.86672472792101</v>
      </c>
      <c r="N5" s="461">
        <v>36.552972206222385</v>
      </c>
      <c r="O5" s="461">
        <v>36.3795700067882</v>
      </c>
      <c r="P5" s="461">
        <v>36.393336065576825</v>
      </c>
      <c r="Q5" s="461">
        <v>36.389468737672487</v>
      </c>
      <c r="R5" s="461">
        <v>36.269000657427917</v>
      </c>
    </row>
    <row r="6" spans="2:18">
      <c r="B6" s="462" t="s">
        <v>88</v>
      </c>
      <c r="C6" s="460" t="s">
        <v>88</v>
      </c>
      <c r="D6" s="461">
        <v>46.756617395783934</v>
      </c>
      <c r="E6" s="461">
        <v>46.390432593390244</v>
      </c>
      <c r="F6" s="461">
        <v>46.215606105484689</v>
      </c>
      <c r="G6" s="461">
        <v>46.149559487782817</v>
      </c>
      <c r="H6" s="461">
        <v>46.393107690270774</v>
      </c>
      <c r="I6" s="461">
        <v>46.233205211285174</v>
      </c>
      <c r="J6" s="461">
        <v>46.33481223477223</v>
      </c>
      <c r="K6" s="461">
        <v>47.185236442507502</v>
      </c>
      <c r="L6" s="461">
        <v>47.134233719689597</v>
      </c>
      <c r="M6" s="461">
        <v>47.092351668382385</v>
      </c>
      <c r="N6" s="461">
        <v>46.460304457338545</v>
      </c>
      <c r="O6" s="461">
        <v>46.300688059264822</v>
      </c>
      <c r="P6" s="461">
        <v>46.125932307953555</v>
      </c>
      <c r="Q6" s="461">
        <v>46.022518992839998</v>
      </c>
      <c r="R6" s="461">
        <v>45.967827073715142</v>
      </c>
    </row>
    <row r="7" spans="2:18">
      <c r="B7" s="462" t="s">
        <v>914</v>
      </c>
      <c r="C7" s="462" t="s">
        <v>915</v>
      </c>
      <c r="D7" s="461">
        <v>36.452957669525397</v>
      </c>
      <c r="E7" s="461">
        <v>36.28412548982179</v>
      </c>
      <c r="F7" s="461">
        <v>36.007239737319672</v>
      </c>
      <c r="G7" s="461">
        <v>35.827364405290851</v>
      </c>
      <c r="H7" s="461">
        <v>35.840626924295684</v>
      </c>
      <c r="I7" s="461">
        <v>35.591989634399937</v>
      </c>
      <c r="J7" s="461">
        <v>36.111596485819085</v>
      </c>
      <c r="K7" s="461">
        <v>36.864803257726344</v>
      </c>
      <c r="L7" s="461">
        <v>37.444169609001484</v>
      </c>
      <c r="M7" s="461">
        <v>36.755559943428104</v>
      </c>
      <c r="N7" s="461">
        <v>36.403911816617331</v>
      </c>
      <c r="O7" s="461">
        <v>36.233720515237891</v>
      </c>
      <c r="P7" s="461">
        <v>36.310129261077805</v>
      </c>
      <c r="Q7" s="461">
        <v>36.332750565114807</v>
      </c>
      <c r="R7" s="461">
        <v>36.21055110752711</v>
      </c>
    </row>
    <row r="8" spans="2:18">
      <c r="B8" s="462" t="s">
        <v>916</v>
      </c>
      <c r="C8" s="463" t="s">
        <v>86</v>
      </c>
      <c r="D8" s="461">
        <v>35.749319764124785</v>
      </c>
      <c r="E8" s="461">
        <v>35.601855065608923</v>
      </c>
      <c r="F8" s="461">
        <v>35.393616666373703</v>
      </c>
      <c r="G8" s="461">
        <v>35.235875486799358</v>
      </c>
      <c r="H8" s="461">
        <v>35.309547059736374</v>
      </c>
      <c r="I8" s="461">
        <v>35.072149481069438</v>
      </c>
      <c r="J8" s="461">
        <v>35.584230706286995</v>
      </c>
      <c r="K8" s="461">
        <v>36.399047764824253</v>
      </c>
      <c r="L8" s="461">
        <v>36.990825291083205</v>
      </c>
      <c r="M8" s="461">
        <v>36.32854392485423</v>
      </c>
      <c r="N8" s="461">
        <v>36.007058799306783</v>
      </c>
      <c r="O8" s="461">
        <v>35.857183282497893</v>
      </c>
      <c r="P8" s="461">
        <v>35.93692570558575</v>
      </c>
      <c r="Q8" s="461">
        <v>35.957873613279119</v>
      </c>
      <c r="R8" s="461">
        <v>35.842062846917223</v>
      </c>
    </row>
    <row r="9" spans="2:18" ht="14.25" customHeight="1">
      <c r="B9" s="464" t="s">
        <v>917</v>
      </c>
      <c r="C9" s="464" t="s">
        <v>917</v>
      </c>
      <c r="D9" s="465">
        <v>33.804944869228358</v>
      </c>
      <c r="E9" s="465">
        <v>34.954506553165423</v>
      </c>
      <c r="F9" s="465">
        <v>38.473123153703291</v>
      </c>
      <c r="G9" s="465">
        <v>38.030205204913095</v>
      </c>
      <c r="H9" s="465">
        <v>38.53769289464897</v>
      </c>
      <c r="I9" s="465">
        <v>38.072284392319098</v>
      </c>
      <c r="J9" s="465">
        <v>40.48533275539392</v>
      </c>
      <c r="K9" s="465">
        <v>36.848773318368124</v>
      </c>
      <c r="L9" s="465">
        <v>37.142183178415152</v>
      </c>
      <c r="M9" s="465">
        <v>37.564566619280299</v>
      </c>
      <c r="N9" s="465">
        <v>38.146647950448809</v>
      </c>
      <c r="O9" s="465">
        <v>38.234456319994372</v>
      </c>
      <c r="P9" s="465">
        <v>38.340137465368358</v>
      </c>
      <c r="Q9" s="465">
        <v>38.418750918985083</v>
      </c>
      <c r="R9" s="465">
        <v>38.497460852574939</v>
      </c>
    </row>
    <row r="10" spans="2:18" ht="16.5" customHeight="1">
      <c r="B10" s="464" t="s">
        <v>279</v>
      </c>
      <c r="C10" s="464" t="s">
        <v>279</v>
      </c>
      <c r="D10" s="465">
        <v>33.933684181823139</v>
      </c>
      <c r="E10" s="465">
        <v>34.600055663111227</v>
      </c>
      <c r="F10" s="465">
        <v>34.951561198326793</v>
      </c>
      <c r="G10" s="465">
        <v>35.154295431185858</v>
      </c>
      <c r="H10" s="465">
        <v>35.730984457271617</v>
      </c>
      <c r="I10" s="465">
        <v>34.646343655150048</v>
      </c>
      <c r="J10" s="465">
        <v>35.891950696264061</v>
      </c>
      <c r="K10" s="465">
        <v>35.927842192639197</v>
      </c>
      <c r="L10" s="465">
        <v>35.129159516026505</v>
      </c>
      <c r="M10" s="465">
        <v>35.959417055027203</v>
      </c>
      <c r="N10" s="465">
        <v>36.641719715094077</v>
      </c>
      <c r="O10" s="465">
        <v>36.852136329071357</v>
      </c>
      <c r="P10" s="465">
        <v>37.12920967616953</v>
      </c>
      <c r="Q10" s="465">
        <v>37.180602886687034</v>
      </c>
      <c r="R10" s="465">
        <v>37.181717210131552</v>
      </c>
    </row>
    <row r="11" spans="2:18" ht="13.5" customHeight="1">
      <c r="B11" s="464" t="s">
        <v>439</v>
      </c>
      <c r="C11" s="464" t="s">
        <v>439</v>
      </c>
      <c r="D11" s="465">
        <v>49.595738926555043</v>
      </c>
      <c r="E11" s="465">
        <v>49.98091029319199</v>
      </c>
      <c r="F11" s="465">
        <v>48.536724601299184</v>
      </c>
      <c r="G11" s="465">
        <v>48.482773459358548</v>
      </c>
      <c r="H11" s="465">
        <v>48.927791809935059</v>
      </c>
      <c r="I11" s="465">
        <v>49.219023760501308</v>
      </c>
      <c r="J11" s="465">
        <v>48.732194794031109</v>
      </c>
      <c r="K11" s="465">
        <v>50.019748494141922</v>
      </c>
      <c r="L11" s="465">
        <v>49.081357635021583</v>
      </c>
      <c r="M11" s="465">
        <v>49.726503681254037</v>
      </c>
      <c r="N11" s="465">
        <v>49.374255920724245</v>
      </c>
      <c r="O11" s="465">
        <v>49.577509326958911</v>
      </c>
      <c r="P11" s="465">
        <v>49.577509326959031</v>
      </c>
      <c r="Q11" s="465">
        <v>49.577509326958989</v>
      </c>
      <c r="R11" s="465">
        <v>49.577509326958925</v>
      </c>
    </row>
    <row r="12" spans="2:18" ht="13.5" customHeight="1">
      <c r="B12" s="464" t="s">
        <v>444</v>
      </c>
      <c r="C12" s="464" t="s">
        <v>444</v>
      </c>
      <c r="D12" s="465">
        <v>52.544217923395294</v>
      </c>
      <c r="E12" s="465">
        <v>51.305945255842303</v>
      </c>
      <c r="F12" s="465">
        <v>50.754525268260927</v>
      </c>
      <c r="G12" s="465">
        <v>51.346432985057852</v>
      </c>
      <c r="H12" s="465">
        <v>51.395214878350451</v>
      </c>
      <c r="I12" s="465">
        <v>49.911834449330925</v>
      </c>
      <c r="J12" s="465">
        <v>49.928864396532603</v>
      </c>
      <c r="K12" s="465">
        <v>49.931695838443041</v>
      </c>
      <c r="L12" s="465">
        <v>49.349575880990358</v>
      </c>
      <c r="M12" s="465">
        <v>50.76208102576377</v>
      </c>
      <c r="N12" s="465">
        <v>51.236608384930825</v>
      </c>
      <c r="O12" s="465">
        <v>51.406230063060185</v>
      </c>
      <c r="P12" s="465">
        <v>51.303074160179563</v>
      </c>
      <c r="Q12" s="465">
        <v>51.311531445226933</v>
      </c>
      <c r="R12" s="465">
        <v>51.492083574153448</v>
      </c>
    </row>
    <row r="13" spans="2:18" ht="13.5" customHeight="1">
      <c r="B13" s="464" t="s">
        <v>87</v>
      </c>
      <c r="C13" s="464" t="s">
        <v>87</v>
      </c>
      <c r="D13" s="465">
        <v>38.545379262498635</v>
      </c>
      <c r="E13" s="465">
        <v>39.956572437967267</v>
      </c>
      <c r="F13" s="465">
        <v>40.300068870693423</v>
      </c>
      <c r="G13" s="465">
        <v>40.34296269201608</v>
      </c>
      <c r="H13" s="465">
        <v>41.022241604884428</v>
      </c>
      <c r="I13" s="465">
        <v>40.572355280578051</v>
      </c>
      <c r="J13" s="465">
        <v>41.799336646330396</v>
      </c>
      <c r="K13" s="465">
        <v>41.474638769725111</v>
      </c>
      <c r="L13" s="465">
        <v>40.775959662764862</v>
      </c>
      <c r="M13" s="465">
        <v>40.743555339675574</v>
      </c>
      <c r="N13" s="465">
        <v>40.619540030805162</v>
      </c>
      <c r="O13" s="465">
        <v>40.635253225656321</v>
      </c>
      <c r="P13" s="465">
        <v>40.70120039497467</v>
      </c>
      <c r="Q13" s="465">
        <v>40.790247067446188</v>
      </c>
      <c r="R13" s="465">
        <v>40.92465011083813</v>
      </c>
    </row>
    <row r="14" spans="2:18" ht="13.5" customHeight="1">
      <c r="B14" s="464" t="s">
        <v>430</v>
      </c>
      <c r="C14" s="464" t="s">
        <v>430</v>
      </c>
      <c r="D14" s="465">
        <v>43.433244340744395</v>
      </c>
      <c r="E14" s="465">
        <v>43.991297122365083</v>
      </c>
      <c r="F14" s="465">
        <v>45.406815828949313</v>
      </c>
      <c r="G14" s="465">
        <v>45.321701199563798</v>
      </c>
      <c r="H14" s="465">
        <v>45.439613340522222</v>
      </c>
      <c r="I14" s="465">
        <v>46.278908460344987</v>
      </c>
      <c r="J14" s="465">
        <v>46.672414818338588</v>
      </c>
      <c r="K14" s="465">
        <v>45.952618196811436</v>
      </c>
      <c r="L14" s="465">
        <v>44.742828728898765</v>
      </c>
      <c r="M14" s="465">
        <v>45.241976373772815</v>
      </c>
      <c r="N14" s="465">
        <v>44.670905391552409</v>
      </c>
      <c r="O14" s="465">
        <v>44.536523998696673</v>
      </c>
      <c r="P14" s="465">
        <v>44.553269515131518</v>
      </c>
      <c r="Q14" s="465">
        <v>44.025225681037981</v>
      </c>
      <c r="R14" s="465">
        <v>43.890018401525673</v>
      </c>
    </row>
    <row r="15" spans="2:18" ht="13.5" customHeight="1">
      <c r="B15" s="464" t="s">
        <v>421</v>
      </c>
      <c r="C15" s="464" t="s">
        <v>421</v>
      </c>
      <c r="D15" s="465">
        <v>40.082252270803302</v>
      </c>
      <c r="E15" s="465">
        <v>39.532097258678441</v>
      </c>
      <c r="F15" s="465">
        <v>37.542601085538777</v>
      </c>
      <c r="G15" s="465">
        <v>38.304377150790408</v>
      </c>
      <c r="H15" s="465">
        <v>38.994053083953482</v>
      </c>
      <c r="I15" s="465">
        <v>39.384969861193213</v>
      </c>
      <c r="J15" s="465">
        <v>38.826216031057321</v>
      </c>
      <c r="K15" s="465">
        <v>41.375922194281145</v>
      </c>
      <c r="L15" s="465">
        <v>42.118045143400821</v>
      </c>
      <c r="M15" s="465">
        <v>41.02547356787958</v>
      </c>
      <c r="N15" s="465">
        <v>40.94738545127769</v>
      </c>
      <c r="O15" s="465">
        <v>40.55355532634605</v>
      </c>
      <c r="P15" s="465">
        <v>40.028323247638163</v>
      </c>
      <c r="Q15" s="465">
        <v>39.805089336297826</v>
      </c>
      <c r="R15" s="465">
        <v>39.724809110406298</v>
      </c>
    </row>
    <row r="16" spans="2:18" ht="13.5" customHeight="1">
      <c r="B16" s="464" t="s">
        <v>919</v>
      </c>
      <c r="C16" s="464" t="s">
        <v>919</v>
      </c>
      <c r="D16" s="465">
        <v>40.546568775217075</v>
      </c>
      <c r="E16" s="465">
        <v>41.29031184045931</v>
      </c>
      <c r="F16" s="465">
        <v>40.46279732650833</v>
      </c>
      <c r="G16" s="465">
        <v>40.481491634386622</v>
      </c>
      <c r="H16" s="465">
        <v>41.487140163832777</v>
      </c>
      <c r="I16" s="465">
        <v>41.342412619325778</v>
      </c>
      <c r="J16" s="465">
        <v>41.452298081792129</v>
      </c>
      <c r="K16" s="465">
        <v>41.414064524514721</v>
      </c>
      <c r="L16" s="465">
        <v>41.248798216626867</v>
      </c>
      <c r="M16" s="465">
        <v>41.952505631273944</v>
      </c>
      <c r="N16" s="465">
        <v>40.787133661995703</v>
      </c>
      <c r="O16" s="465">
        <v>40.194970565254039</v>
      </c>
      <c r="P16" s="465">
        <v>40.194789376516269</v>
      </c>
      <c r="Q16" s="465">
        <v>40.244995923070441</v>
      </c>
      <c r="R16" s="465">
        <v>40.256082553063862</v>
      </c>
    </row>
    <row r="17" spans="2:18" ht="13.5" customHeight="1">
      <c r="B17" s="464" t="s">
        <v>451</v>
      </c>
      <c r="C17" s="464" t="s">
        <v>451</v>
      </c>
      <c r="D17" s="465">
        <v>56.362140457760965</v>
      </c>
      <c r="E17" s="465">
        <v>53.198065564174435</v>
      </c>
      <c r="F17" s="465">
        <v>52.372629588354549</v>
      </c>
      <c r="G17" s="465">
        <v>52.335792718517439</v>
      </c>
      <c r="H17" s="465">
        <v>51.308760648200533</v>
      </c>
      <c r="I17" s="465">
        <v>53.799360004846484</v>
      </c>
      <c r="J17" s="465">
        <v>53.750989707046713</v>
      </c>
      <c r="K17" s="465">
        <v>54.437845248159377</v>
      </c>
      <c r="L17" s="465">
        <v>51.667007508986927</v>
      </c>
      <c r="M17" s="465">
        <v>50.828283545929899</v>
      </c>
      <c r="N17" s="465">
        <v>50.242485350031338</v>
      </c>
      <c r="O17" s="465">
        <v>50.027526351663909</v>
      </c>
      <c r="P17" s="465">
        <v>50.250036860498817</v>
      </c>
      <c r="Q17" s="465">
        <v>50.346175519419887</v>
      </c>
      <c r="R17" s="465">
        <v>50.344515814181122</v>
      </c>
    </row>
    <row r="18" spans="2:18" ht="13.5" customHeight="1">
      <c r="B18" s="464" t="s">
        <v>423</v>
      </c>
      <c r="C18" s="464" t="s">
        <v>423</v>
      </c>
      <c r="D18" s="465">
        <v>38.47183866106883</v>
      </c>
      <c r="E18" s="465">
        <v>39.668579304234278</v>
      </c>
      <c r="F18" s="465">
        <v>38.985233654743681</v>
      </c>
      <c r="G18" s="465">
        <v>38.498483990898578</v>
      </c>
      <c r="H18" s="465">
        <v>38.719725267881557</v>
      </c>
      <c r="I18" s="465">
        <v>39.510178489039873</v>
      </c>
      <c r="J18" s="465">
        <v>39.364072830200499</v>
      </c>
      <c r="K18" s="465">
        <v>38.986432689286538</v>
      </c>
      <c r="L18" s="465">
        <v>39.032114260007688</v>
      </c>
      <c r="M18" s="465">
        <v>38.449149886142472</v>
      </c>
      <c r="N18" s="465">
        <v>38.902063719754175</v>
      </c>
      <c r="O18" s="465">
        <v>38.993437024531744</v>
      </c>
      <c r="P18" s="465">
        <v>39.284320451463813</v>
      </c>
      <c r="Q18" s="465">
        <v>39.285363797229792</v>
      </c>
      <c r="R18" s="465">
        <v>39.470854821161382</v>
      </c>
    </row>
    <row r="19" spans="2:18" ht="13.5" customHeight="1">
      <c r="B19" s="464" t="s">
        <v>481</v>
      </c>
      <c r="C19" s="464" t="s">
        <v>481</v>
      </c>
      <c r="D19" s="465">
        <v>54.286432379396508</v>
      </c>
      <c r="E19" s="465">
        <v>54.064384890129382</v>
      </c>
      <c r="F19" s="465">
        <v>53.948638733346208</v>
      </c>
      <c r="G19" s="465">
        <v>52.978555110229294</v>
      </c>
      <c r="H19" s="465">
        <v>52.5258928647917</v>
      </c>
      <c r="I19" s="465">
        <v>52.38974726713306</v>
      </c>
      <c r="J19" s="465">
        <v>51.620329527218345</v>
      </c>
      <c r="K19" s="465">
        <v>52.96136379961213</v>
      </c>
      <c r="L19" s="465">
        <v>52.185814504736783</v>
      </c>
      <c r="M19" s="465">
        <v>52.130688360458976</v>
      </c>
      <c r="N19" s="465">
        <v>51.734631133151041</v>
      </c>
      <c r="O19" s="465">
        <v>51.473856674160288</v>
      </c>
      <c r="P19" s="465">
        <v>51.345469127382145</v>
      </c>
      <c r="Q19" s="465">
        <v>51.329095302158436</v>
      </c>
      <c r="R19" s="465">
        <v>51.3971285244981</v>
      </c>
    </row>
    <row r="20" spans="2:18" ht="13.5" customHeight="1">
      <c r="B20" s="464" t="s">
        <v>90</v>
      </c>
      <c r="C20" s="464" t="s">
        <v>90</v>
      </c>
      <c r="D20" s="465">
        <v>53.308943070521664</v>
      </c>
      <c r="E20" s="465">
        <v>53.172397417795956</v>
      </c>
      <c r="F20" s="465">
        <v>53.048592986349483</v>
      </c>
      <c r="G20" s="465">
        <v>53.545033566337374</v>
      </c>
      <c r="H20" s="465">
        <v>53.355595932139131</v>
      </c>
      <c r="I20" s="465">
        <v>52.287155378061115</v>
      </c>
      <c r="J20" s="465">
        <v>52.519598512998279</v>
      </c>
      <c r="K20" s="465">
        <v>52.548739946766943</v>
      </c>
      <c r="L20" s="465">
        <v>53.616587113888329</v>
      </c>
      <c r="M20" s="465">
        <v>52.74383387735584</v>
      </c>
      <c r="N20" s="465">
        <v>51.852803267411154</v>
      </c>
      <c r="O20" s="465">
        <v>51.598429986624836</v>
      </c>
      <c r="P20" s="465">
        <v>51.49478802895522</v>
      </c>
      <c r="Q20" s="465">
        <v>51.495516330127558</v>
      </c>
      <c r="R20" s="465">
        <v>51.496898200618546</v>
      </c>
    </row>
    <row r="21" spans="2:18" ht="13.5" customHeight="1">
      <c r="B21" s="464" t="s">
        <v>91</v>
      </c>
      <c r="C21" s="464" t="s">
        <v>91</v>
      </c>
      <c r="D21" s="465">
        <v>44.882576184571448</v>
      </c>
      <c r="E21" s="465">
        <v>45.101646299955725</v>
      </c>
      <c r="F21" s="465">
        <v>45.51407772255434</v>
      </c>
      <c r="G21" s="465">
        <v>45.51123911899019</v>
      </c>
      <c r="H21" s="465">
        <v>46.270899879659481</v>
      </c>
      <c r="I21" s="465">
        <v>46.521711590839729</v>
      </c>
      <c r="J21" s="465">
        <v>46.075268027826148</v>
      </c>
      <c r="K21" s="465">
        <v>47.525425140556678</v>
      </c>
      <c r="L21" s="465">
        <v>47.083771867444177</v>
      </c>
      <c r="M21" s="465">
        <v>46.957483569675567</v>
      </c>
      <c r="N21" s="465">
        <v>46.854312766560234</v>
      </c>
      <c r="O21" s="465">
        <v>47.001039132701763</v>
      </c>
      <c r="P21" s="465">
        <v>47.126873197256337</v>
      </c>
      <c r="Q21" s="465">
        <v>47.102251573349626</v>
      </c>
      <c r="R21" s="465">
        <v>47.120996932737206</v>
      </c>
    </row>
    <row r="22" spans="2:18" ht="13.5" customHeight="1">
      <c r="B22" s="464" t="s">
        <v>425</v>
      </c>
      <c r="C22" s="464" t="s">
        <v>425</v>
      </c>
      <c r="D22" s="465">
        <v>46.524520977679479</v>
      </c>
      <c r="E22" s="465">
        <v>48.164926942943488</v>
      </c>
      <c r="F22" s="465">
        <v>50.19427379424171</v>
      </c>
      <c r="G22" s="465">
        <v>49.401084209990785</v>
      </c>
      <c r="H22" s="465">
        <v>49.304959957228306</v>
      </c>
      <c r="I22" s="465">
        <v>47.974104313584327</v>
      </c>
      <c r="J22" s="465">
        <v>48.972521991475467</v>
      </c>
      <c r="K22" s="465">
        <v>49.472959955965322</v>
      </c>
      <c r="L22" s="465">
        <v>51.529826581155511</v>
      </c>
      <c r="M22" s="465">
        <v>47.923394315740467</v>
      </c>
      <c r="N22" s="465">
        <v>45.723167273516864</v>
      </c>
      <c r="O22" s="465">
        <v>45.171676592737533</v>
      </c>
      <c r="P22" s="465">
        <v>44.673771866171492</v>
      </c>
      <c r="Q22" s="465">
        <v>43.613464898243322</v>
      </c>
      <c r="R22" s="465">
        <v>42.989509109579046</v>
      </c>
    </row>
    <row r="23" spans="2:18" ht="13.5" customHeight="1">
      <c r="B23" s="464" t="s">
        <v>920</v>
      </c>
      <c r="C23" s="464" t="s">
        <v>920</v>
      </c>
      <c r="D23" s="465">
        <v>20.844888248622219</v>
      </c>
      <c r="E23" s="465">
        <v>18.629967734513702</v>
      </c>
      <c r="F23" s="465">
        <v>22.638936204721389</v>
      </c>
      <c r="G23" s="465">
        <v>22.853805112255145</v>
      </c>
      <c r="H23" s="465">
        <v>20.742838158923774</v>
      </c>
      <c r="I23" s="465">
        <v>20.367965722518843</v>
      </c>
      <c r="J23" s="465">
        <v>20.677750298201623</v>
      </c>
      <c r="K23" s="465">
        <v>23.716664439565861</v>
      </c>
      <c r="L23" s="465">
        <v>20.944420449231842</v>
      </c>
      <c r="M23" s="465">
        <v>21.073673215061337</v>
      </c>
      <c r="N23" s="465">
        <v>22.796048331788342</v>
      </c>
      <c r="O23" s="465">
        <v>23.559847904529292</v>
      </c>
      <c r="P23" s="465">
        <v>23.704308412843446</v>
      </c>
      <c r="Q23" s="465">
        <v>23.70430841284351</v>
      </c>
      <c r="R23" s="465">
        <v>23.704308412843559</v>
      </c>
    </row>
    <row r="24" spans="2:18" ht="13.5" customHeight="1">
      <c r="B24" s="464" t="s">
        <v>921</v>
      </c>
      <c r="C24" s="464" t="s">
        <v>921</v>
      </c>
      <c r="D24" s="465">
        <v>46.122385398493073</v>
      </c>
      <c r="E24" s="465">
        <v>43.078255255213669</v>
      </c>
      <c r="F24" s="465">
        <v>58.986583101650602</v>
      </c>
      <c r="G24" s="465">
        <v>45.364216477242834</v>
      </c>
      <c r="H24" s="465">
        <v>44.760475883737868</v>
      </c>
      <c r="I24" s="465">
        <v>42.084982815403407</v>
      </c>
      <c r="J24" s="465">
        <v>42.191311021308742</v>
      </c>
      <c r="K24" s="465">
        <v>41.373742989385498</v>
      </c>
      <c r="L24" s="465">
        <v>41.796790370474213</v>
      </c>
      <c r="M24" s="465">
        <v>42.000308387348738</v>
      </c>
      <c r="N24" s="465">
        <v>41.611656614863499</v>
      </c>
      <c r="O24" s="465">
        <v>41.765332386048051</v>
      </c>
      <c r="P24" s="465">
        <v>41.564266205932213</v>
      </c>
      <c r="Q24" s="465">
        <v>41.017569093859024</v>
      </c>
      <c r="R24" s="465">
        <v>40.528427768317499</v>
      </c>
    </row>
    <row r="25" spans="2:18" ht="13.5" customHeight="1">
      <c r="B25" s="464" t="s">
        <v>429</v>
      </c>
      <c r="C25" s="464" t="s">
        <v>429</v>
      </c>
      <c r="D25" s="465">
        <v>33.968629059128077</v>
      </c>
      <c r="E25" s="465">
        <v>27.021173034801656</v>
      </c>
      <c r="F25" s="465">
        <v>27.320710865043708</v>
      </c>
      <c r="G25" s="465">
        <v>25.870977925397042</v>
      </c>
      <c r="H25" s="465">
        <v>25.483894670132351</v>
      </c>
      <c r="I25" s="465">
        <v>24.727604042556173</v>
      </c>
      <c r="J25" s="465">
        <v>22.312759497473419</v>
      </c>
      <c r="K25" s="465">
        <v>23.161819730085412</v>
      </c>
      <c r="L25" s="465">
        <v>23.312422219175538</v>
      </c>
      <c r="M25" s="465">
        <v>22.278258274215133</v>
      </c>
      <c r="N25" s="465">
        <v>22.040083246556115</v>
      </c>
      <c r="O25" s="465">
        <v>21.953624184870321</v>
      </c>
      <c r="P25" s="465">
        <v>21.988399812984731</v>
      </c>
      <c r="Q25" s="465">
        <v>22.028139632043217</v>
      </c>
      <c r="R25" s="465">
        <v>21.770304062330755</v>
      </c>
    </row>
    <row r="26" spans="2:18" ht="13.5" customHeight="1">
      <c r="B26" s="464" t="s">
        <v>923</v>
      </c>
      <c r="C26" s="464" t="s">
        <v>923</v>
      </c>
      <c r="D26" s="465">
        <v>36.004428158071576</v>
      </c>
      <c r="E26" s="465">
        <v>36.299461246832792</v>
      </c>
      <c r="F26" s="465">
        <v>36.024201901336724</v>
      </c>
      <c r="G26" s="465">
        <v>37.127637248830382</v>
      </c>
      <c r="H26" s="465">
        <v>35.485281737246268</v>
      </c>
      <c r="I26" s="465">
        <v>34.599439675562394</v>
      </c>
      <c r="J26" s="465">
        <v>33.978091926832036</v>
      </c>
      <c r="K26" s="465">
        <v>36.570555846443369</v>
      </c>
      <c r="L26" s="465">
        <v>37.012357876719236</v>
      </c>
      <c r="M26" s="465">
        <v>35.163981928013278</v>
      </c>
      <c r="N26" s="465">
        <v>35.115217812971672</v>
      </c>
      <c r="O26" s="465">
        <v>34.22526866390497</v>
      </c>
      <c r="P26" s="465">
        <v>34.214264082797172</v>
      </c>
      <c r="Q26" s="465">
        <v>34.209163403449963</v>
      </c>
      <c r="R26" s="465">
        <v>34.299049929931634</v>
      </c>
    </row>
    <row r="27" spans="2:18" ht="13.5" customHeight="1">
      <c r="B27" s="464" t="s">
        <v>92</v>
      </c>
      <c r="C27" s="464" t="s">
        <v>92</v>
      </c>
      <c r="D27" s="465">
        <v>47.901076928559924</v>
      </c>
      <c r="E27" s="465">
        <v>47.764920515538961</v>
      </c>
      <c r="F27" s="465">
        <v>46.674493907548531</v>
      </c>
      <c r="G27" s="465">
        <v>46.344249919238415</v>
      </c>
      <c r="H27" s="465">
        <v>46.228754690522869</v>
      </c>
      <c r="I27" s="465">
        <v>46.964179961795523</v>
      </c>
      <c r="J27" s="465">
        <v>47.337057952342541</v>
      </c>
      <c r="K27" s="465">
        <v>48.297342471454556</v>
      </c>
      <c r="L27" s="465">
        <v>48.787603717460051</v>
      </c>
      <c r="M27" s="465">
        <v>49.98386328577071</v>
      </c>
      <c r="N27" s="465">
        <v>48.59177637998453</v>
      </c>
      <c r="O27" s="465">
        <v>48.447228051921897</v>
      </c>
      <c r="P27" s="465">
        <v>48.218146012671092</v>
      </c>
      <c r="Q27" s="465">
        <v>47.966842180033609</v>
      </c>
      <c r="R27" s="465">
        <v>47.800225937823228</v>
      </c>
    </row>
    <row r="28" spans="2:18" ht="13.5" customHeight="1">
      <c r="B28" s="464" t="s">
        <v>96</v>
      </c>
      <c r="C28" s="464" t="s">
        <v>96</v>
      </c>
      <c r="D28" s="465">
        <v>32.772910988219031</v>
      </c>
      <c r="E28" s="465">
        <v>33.61743642204447</v>
      </c>
      <c r="F28" s="465">
        <v>33.629666587430556</v>
      </c>
      <c r="G28" s="465">
        <v>33.587266057102774</v>
      </c>
      <c r="H28" s="465">
        <v>34.267298875860284</v>
      </c>
      <c r="I28" s="465">
        <v>34.249053029793828</v>
      </c>
      <c r="J28" s="465">
        <v>35.498599100990866</v>
      </c>
      <c r="K28" s="465">
        <v>36.599103752179964</v>
      </c>
      <c r="L28" s="465">
        <v>36.191912037058941</v>
      </c>
      <c r="M28" s="465">
        <v>35.688546381117931</v>
      </c>
      <c r="N28" s="465">
        <v>35.436671551090058</v>
      </c>
      <c r="O28" s="465">
        <v>35.419486462695232</v>
      </c>
      <c r="P28" s="465">
        <v>35.408591274873523</v>
      </c>
      <c r="Q28" s="465">
        <v>35.398648688150367</v>
      </c>
      <c r="R28" s="465">
        <v>35.397881478761541</v>
      </c>
    </row>
    <row r="29" spans="2:18" ht="13.5" customHeight="1">
      <c r="B29" s="464" t="s">
        <v>283</v>
      </c>
      <c r="C29" s="464" t="s">
        <v>283</v>
      </c>
      <c r="D29" s="465">
        <v>20.358250438759534</v>
      </c>
      <c r="E29" s="465">
        <v>20.259762786995868</v>
      </c>
      <c r="F29" s="465">
        <v>21.133519717257716</v>
      </c>
      <c r="G29" s="465">
        <v>21.825973354443555</v>
      </c>
      <c r="H29" s="465">
        <v>22.945934092564375</v>
      </c>
      <c r="I29" s="465">
        <v>22.922755808384533</v>
      </c>
      <c r="J29" s="465">
        <v>22.862266712326551</v>
      </c>
      <c r="K29" s="465">
        <v>25.824677625360941</v>
      </c>
      <c r="L29" s="465">
        <v>26.974882093582053</v>
      </c>
      <c r="M29" s="465">
        <v>25.308058896731279</v>
      </c>
      <c r="N29" s="465">
        <v>24.881925630957344</v>
      </c>
      <c r="O29" s="465">
        <v>24.961477814637007</v>
      </c>
      <c r="P29" s="465">
        <v>24.963177689126592</v>
      </c>
      <c r="Q29" s="465">
        <v>24.9609921050873</v>
      </c>
      <c r="R29" s="465">
        <v>24.955672957300955</v>
      </c>
    </row>
    <row r="30" spans="2:18" ht="13.5" customHeight="1">
      <c r="B30" s="464" t="s">
        <v>442</v>
      </c>
      <c r="C30" s="464" t="s">
        <v>442</v>
      </c>
      <c r="D30" s="465">
        <v>36.115962477794454</v>
      </c>
      <c r="E30" s="465">
        <v>35.872551537818396</v>
      </c>
      <c r="F30" s="465">
        <v>35.730093140452254</v>
      </c>
      <c r="G30" s="465">
        <v>35.66681767686628</v>
      </c>
      <c r="H30" s="465">
        <v>37.329590427507256</v>
      </c>
      <c r="I30" s="465">
        <v>37.206191471165795</v>
      </c>
      <c r="J30" s="465">
        <v>37.424484650655735</v>
      </c>
      <c r="K30" s="465">
        <v>37.440537561238273</v>
      </c>
      <c r="L30" s="465">
        <v>35.625439019411751</v>
      </c>
      <c r="M30" s="465">
        <v>36.82326851846306</v>
      </c>
      <c r="N30" s="465">
        <v>37.856969133536381</v>
      </c>
      <c r="O30" s="465">
        <v>36.438557287553195</v>
      </c>
      <c r="P30" s="465">
        <v>36.629757670926672</v>
      </c>
      <c r="Q30" s="465">
        <v>36.520546718001548</v>
      </c>
      <c r="R30" s="465">
        <v>36.30644348738938</v>
      </c>
    </row>
    <row r="31" spans="2:18" ht="13.5" customHeight="1">
      <c r="B31" s="464" t="s">
        <v>433</v>
      </c>
      <c r="C31" s="464" t="s">
        <v>433</v>
      </c>
      <c r="D31" s="465">
        <v>33.350919732212908</v>
      </c>
      <c r="E31" s="465">
        <v>34.191084917406819</v>
      </c>
      <c r="F31" s="465">
        <v>33.557298938799022</v>
      </c>
      <c r="G31" s="465">
        <v>32.855997331838402</v>
      </c>
      <c r="H31" s="465">
        <v>33.748945407248563</v>
      </c>
      <c r="I31" s="465">
        <v>34.038054968287526</v>
      </c>
      <c r="J31" s="465">
        <v>34.723073368227531</v>
      </c>
      <c r="K31" s="465">
        <v>36.266220473842537</v>
      </c>
      <c r="L31" s="465">
        <v>35.751091046552723</v>
      </c>
      <c r="M31" s="465">
        <v>35.358293730451337</v>
      </c>
      <c r="N31" s="465">
        <v>35.175940097888386</v>
      </c>
      <c r="O31" s="465">
        <v>35.000902341121225</v>
      </c>
      <c r="P31" s="465">
        <v>34.911188119165367</v>
      </c>
      <c r="Q31" s="465">
        <v>34.953307938875874</v>
      </c>
      <c r="R31" s="465">
        <v>34.94156982674842</v>
      </c>
    </row>
    <row r="32" spans="2:18" ht="13.5" customHeight="1">
      <c r="B32" s="464" t="s">
        <v>440</v>
      </c>
      <c r="C32" s="464" t="s">
        <v>440</v>
      </c>
      <c r="D32" s="465">
        <v>41.94406589523723</v>
      </c>
      <c r="E32" s="465">
        <v>41.669370031620318</v>
      </c>
      <c r="F32" s="465">
        <v>41.934797537717053</v>
      </c>
      <c r="G32" s="465">
        <v>42.644238835939539</v>
      </c>
      <c r="H32" s="465">
        <v>45.276436598071896</v>
      </c>
      <c r="I32" s="465">
        <v>45.359767017188332</v>
      </c>
      <c r="J32" s="465">
        <v>43.303683647494864</v>
      </c>
      <c r="K32" s="465">
        <v>43.682807939691543</v>
      </c>
      <c r="L32" s="465">
        <v>43.085853322835469</v>
      </c>
      <c r="M32" s="465">
        <v>43.270516445255254</v>
      </c>
      <c r="N32" s="465">
        <v>44.289897268747509</v>
      </c>
      <c r="O32" s="465">
        <v>44.527793483470859</v>
      </c>
      <c r="P32" s="465">
        <v>44.833442214370329</v>
      </c>
      <c r="Q32" s="465">
        <v>45.19013323839399</v>
      </c>
      <c r="R32" s="465">
        <v>45.534388024203281</v>
      </c>
    </row>
    <row r="33" spans="2:18" ht="13.5" customHeight="1">
      <c r="B33" s="464" t="s">
        <v>437</v>
      </c>
      <c r="C33" s="464" t="s">
        <v>437</v>
      </c>
      <c r="D33" s="465">
        <v>38.234037469333863</v>
      </c>
      <c r="E33" s="465">
        <v>37.158225056043435</v>
      </c>
      <c r="F33" s="465">
        <v>37.486493383536676</v>
      </c>
      <c r="G33" s="465">
        <v>37.742750299771366</v>
      </c>
      <c r="H33" s="465">
        <v>37.889653890417215</v>
      </c>
      <c r="I33" s="465">
        <v>36.286989072314007</v>
      </c>
      <c r="J33" s="465">
        <v>36.365323010593876</v>
      </c>
      <c r="K33" s="465">
        <v>36.078048676436083</v>
      </c>
      <c r="L33" s="465">
        <v>35.644431911582188</v>
      </c>
      <c r="M33" s="465">
        <v>35.609007059018005</v>
      </c>
      <c r="N33" s="465">
        <v>34.830915702000894</v>
      </c>
      <c r="O33" s="465">
        <v>34.776549063780273</v>
      </c>
      <c r="P33" s="465">
        <v>34.771248936966579</v>
      </c>
      <c r="Q33" s="465">
        <v>34.766263312174246</v>
      </c>
      <c r="R33" s="465">
        <v>34.761512571109613</v>
      </c>
    </row>
    <row r="34" spans="2:18" ht="13.5" customHeight="1">
      <c r="B34" s="464" t="s">
        <v>441</v>
      </c>
      <c r="C34" s="464" t="s">
        <v>448</v>
      </c>
      <c r="D34" s="465">
        <v>43.015962832807197</v>
      </c>
      <c r="E34" s="465">
        <v>42.096613372598583</v>
      </c>
      <c r="F34" s="465">
        <v>42.979965750765523</v>
      </c>
      <c r="G34" s="465">
        <v>43.038098154023729</v>
      </c>
      <c r="H34" s="465">
        <v>42.981083661611883</v>
      </c>
      <c r="I34" s="465">
        <v>43.148126510506671</v>
      </c>
      <c r="J34" s="465">
        <v>43.291526998355366</v>
      </c>
      <c r="K34" s="465">
        <v>43.207030720868424</v>
      </c>
      <c r="L34" s="465">
        <v>43.517962884348925</v>
      </c>
      <c r="M34" s="465">
        <v>43.080011589310743</v>
      </c>
      <c r="N34" s="465">
        <v>42.661131958969278</v>
      </c>
      <c r="O34" s="465">
        <v>42.493132380170657</v>
      </c>
      <c r="P34" s="465">
        <v>42.511581698914199</v>
      </c>
      <c r="Q34" s="465">
        <v>42.290791079720925</v>
      </c>
      <c r="R34" s="465">
        <v>42.217617008832761</v>
      </c>
    </row>
    <row r="35" spans="2:18" ht="13.5" customHeight="1">
      <c r="B35" s="464" t="s">
        <v>924</v>
      </c>
      <c r="C35" s="464" t="s">
        <v>924</v>
      </c>
      <c r="D35" s="465">
        <v>37.347039582918242</v>
      </c>
      <c r="E35" s="465">
        <v>37.612812208158644</v>
      </c>
      <c r="F35" s="465">
        <v>37.429234495324792</v>
      </c>
      <c r="G35" s="465">
        <v>36.990456035954864</v>
      </c>
      <c r="H35" s="465">
        <v>37.37091250479326</v>
      </c>
      <c r="I35" s="465">
        <v>36.324945353567891</v>
      </c>
      <c r="J35" s="465">
        <v>37.771961090072026</v>
      </c>
      <c r="K35" s="465">
        <v>38.453236001473378</v>
      </c>
      <c r="L35" s="465">
        <v>38.989230816364071</v>
      </c>
      <c r="M35" s="465">
        <v>38.968984187801965</v>
      </c>
      <c r="N35" s="465">
        <v>40.245146652222495</v>
      </c>
      <c r="O35" s="465">
        <v>40.983493436631662</v>
      </c>
      <c r="P35" s="465">
        <v>41.234760702784655</v>
      </c>
      <c r="Q35" s="465">
        <v>41.192004138221542</v>
      </c>
      <c r="R35" s="465">
        <v>40.405307039483148</v>
      </c>
    </row>
    <row r="36" spans="2:18" ht="13.5" customHeight="1">
      <c r="B36" s="464" t="s">
        <v>431</v>
      </c>
      <c r="C36" s="464" t="s">
        <v>431</v>
      </c>
      <c r="D36" s="465">
        <v>53.79734244382194</v>
      </c>
      <c r="E36" s="465">
        <v>54.190665529778926</v>
      </c>
      <c r="F36" s="465">
        <v>54.440851915976552</v>
      </c>
      <c r="G36" s="465">
        <v>54.180415112020299</v>
      </c>
      <c r="H36" s="465">
        <v>55.507815984036149</v>
      </c>
      <c r="I36" s="465">
        <v>56.725474125755923</v>
      </c>
      <c r="J36" s="465">
        <v>54.161501628593925</v>
      </c>
      <c r="K36" s="465">
        <v>56.927898916493668</v>
      </c>
      <c r="L36" s="465">
        <v>60.920089289587395</v>
      </c>
      <c r="M36" s="465">
        <v>65.728584620313129</v>
      </c>
      <c r="N36" s="465">
        <v>64.854374141573217</v>
      </c>
      <c r="O36" s="465">
        <v>63.77722691378176</v>
      </c>
      <c r="P36" s="465">
        <v>63.581769317082781</v>
      </c>
      <c r="Q36" s="465">
        <v>63.364406725269816</v>
      </c>
      <c r="R36" s="465">
        <v>63.186905061492929</v>
      </c>
    </row>
    <row r="37" spans="2:18" ht="13.5" customHeight="1">
      <c r="B37" s="464" t="s">
        <v>443</v>
      </c>
      <c r="C37" s="464" t="s">
        <v>443</v>
      </c>
      <c r="D37" s="465">
        <v>44.37915687442684</v>
      </c>
      <c r="E37" s="465">
        <v>43.798864524141798</v>
      </c>
      <c r="F37" s="465">
        <v>42.901689529400535</v>
      </c>
      <c r="G37" s="465">
        <v>42.412028042262428</v>
      </c>
      <c r="H37" s="465">
        <v>42.891415615822268</v>
      </c>
      <c r="I37" s="465">
        <v>42.566312629242162</v>
      </c>
      <c r="J37" s="465">
        <v>43.407364093858483</v>
      </c>
      <c r="K37" s="465">
        <v>44.588678646053317</v>
      </c>
      <c r="L37" s="465">
        <v>43.749576347335548</v>
      </c>
      <c r="M37" s="465">
        <v>43.637728188904134</v>
      </c>
      <c r="N37" s="465">
        <v>43.649455659113507</v>
      </c>
      <c r="O37" s="465">
        <v>43.600752083407841</v>
      </c>
      <c r="P37" s="465">
        <v>43.614780534919603</v>
      </c>
      <c r="Q37" s="465">
        <v>43.490929575773137</v>
      </c>
      <c r="R37" s="465">
        <v>43.717920404334798</v>
      </c>
    </row>
    <row r="38" spans="2:18">
      <c r="B38" s="464" t="s">
        <v>925</v>
      </c>
      <c r="C38" s="464" t="s">
        <v>925</v>
      </c>
      <c r="D38" s="465">
        <v>17.174446905594067</v>
      </c>
      <c r="E38" s="465">
        <v>17.299047806393745</v>
      </c>
      <c r="F38" s="465">
        <v>18.56073570667791</v>
      </c>
      <c r="G38" s="465">
        <v>18.869628072970364</v>
      </c>
      <c r="H38" s="465">
        <v>17.555491203226335</v>
      </c>
      <c r="I38" s="465">
        <v>17.782226114884114</v>
      </c>
      <c r="J38" s="465">
        <v>17.509141316402506</v>
      </c>
      <c r="K38" s="465">
        <v>17.376115425824327</v>
      </c>
      <c r="L38" s="465">
        <v>15.85317834335822</v>
      </c>
      <c r="M38" s="465">
        <v>17.22728099117807</v>
      </c>
      <c r="N38" s="465">
        <v>17.110554393233251</v>
      </c>
      <c r="O38" s="465">
        <v>17.625665103192077</v>
      </c>
      <c r="P38" s="465">
        <v>17.993703657840545</v>
      </c>
      <c r="Q38" s="465">
        <v>18.160366155219972</v>
      </c>
      <c r="R38" s="465">
        <v>18.19463665958672</v>
      </c>
    </row>
    <row r="39" spans="2:18">
      <c r="B39" s="464" t="s">
        <v>449</v>
      </c>
      <c r="C39" s="464" t="s">
        <v>449</v>
      </c>
      <c r="D39" s="465">
        <v>40.152839714751586</v>
      </c>
      <c r="E39" s="465">
        <v>42.898434964930232</v>
      </c>
      <c r="F39" s="465">
        <v>39.971402237861028</v>
      </c>
      <c r="G39" s="465">
        <v>38.515222056480518</v>
      </c>
      <c r="H39" s="465">
        <v>38.658710404596619</v>
      </c>
      <c r="I39" s="465">
        <v>39.310485040884224</v>
      </c>
      <c r="J39" s="465">
        <v>39.405890142452336</v>
      </c>
      <c r="K39" s="465">
        <v>40.878779574312595</v>
      </c>
      <c r="L39" s="465">
        <v>40.735080993269904</v>
      </c>
      <c r="M39" s="465">
        <v>42.716734777049552</v>
      </c>
      <c r="N39" s="465">
        <v>39.053674816901371</v>
      </c>
      <c r="O39" s="465">
        <v>38.397612350444746</v>
      </c>
      <c r="P39" s="465">
        <v>38.413835978209022</v>
      </c>
      <c r="Q39" s="465">
        <v>38.027529685545183</v>
      </c>
      <c r="R39" s="465">
        <v>38.028874401503018</v>
      </c>
    </row>
    <row r="40" spans="2:18">
      <c r="B40" s="464" t="s">
        <v>432</v>
      </c>
      <c r="C40" s="464" t="s">
        <v>432</v>
      </c>
      <c r="D40" s="465">
        <v>45.335094143093251</v>
      </c>
      <c r="E40" s="465">
        <v>45.863200566244124</v>
      </c>
      <c r="F40" s="465">
        <v>44.243641066090383</v>
      </c>
      <c r="G40" s="465">
        <v>44.017037383199295</v>
      </c>
      <c r="H40" s="465">
        <v>44.212807048519601</v>
      </c>
      <c r="I40" s="465">
        <v>43.750669644696828</v>
      </c>
      <c r="J40" s="465">
        <v>43.436401414696078</v>
      </c>
      <c r="K40" s="465">
        <v>44.620470769861384</v>
      </c>
      <c r="L40" s="465">
        <v>43.085584785443963</v>
      </c>
      <c r="M40" s="465">
        <v>42.666680371731694</v>
      </c>
      <c r="N40" s="465">
        <v>42.150624885896782</v>
      </c>
      <c r="O40" s="465">
        <v>42.058400176363818</v>
      </c>
      <c r="P40" s="465">
        <v>42.150199236157917</v>
      </c>
      <c r="Q40" s="465">
        <v>42.095101842663894</v>
      </c>
      <c r="R40" s="465">
        <v>42.220506709047299</v>
      </c>
    </row>
    <row r="41" spans="2:18">
      <c r="B41" s="464" t="s">
        <v>94</v>
      </c>
      <c r="C41" s="464" t="s">
        <v>94</v>
      </c>
      <c r="D41" s="465">
        <v>39.222628528928695</v>
      </c>
      <c r="E41" s="465">
        <v>38.739365471592407</v>
      </c>
      <c r="F41" s="465">
        <v>38.164695536691731</v>
      </c>
      <c r="G41" s="465">
        <v>38.196994043829982</v>
      </c>
      <c r="H41" s="465">
        <v>39.218878622828754</v>
      </c>
      <c r="I41" s="465">
        <v>39.223677312079438</v>
      </c>
      <c r="J41" s="465">
        <v>41.822593961121264</v>
      </c>
      <c r="K41" s="465">
        <v>43.743754360554234</v>
      </c>
      <c r="L41" s="465">
        <v>43.354824414499646</v>
      </c>
      <c r="M41" s="465">
        <v>44.234611537148481</v>
      </c>
      <c r="N41" s="465">
        <v>43.457896199042693</v>
      </c>
      <c r="O41" s="465">
        <v>42.660175037395518</v>
      </c>
      <c r="P41" s="465">
        <v>41.361401299127742</v>
      </c>
      <c r="Q41" s="465">
        <v>41.361401299127714</v>
      </c>
      <c r="R41" s="465">
        <v>41.361401299127763</v>
      </c>
    </row>
    <row r="42" spans="2:18">
      <c r="B42" s="464" t="s">
        <v>422</v>
      </c>
      <c r="C42" s="464" t="s">
        <v>422</v>
      </c>
      <c r="D42" s="465">
        <v>48.144051814172258</v>
      </c>
      <c r="E42" s="465">
        <v>48.393205444469736</v>
      </c>
      <c r="F42" s="465">
        <v>49.7562304772039</v>
      </c>
      <c r="G42" s="465">
        <v>49.649304424947907</v>
      </c>
      <c r="H42" s="465">
        <v>49.570366915435763</v>
      </c>
      <c r="I42" s="465">
        <v>48.669592696003399</v>
      </c>
      <c r="J42" s="465">
        <v>48.251854010032275</v>
      </c>
      <c r="K42" s="465">
        <v>48.309001764908352</v>
      </c>
      <c r="L42" s="465">
        <v>47.463289013242758</v>
      </c>
      <c r="M42" s="465">
        <v>46.860939748278128</v>
      </c>
      <c r="N42" s="465">
        <v>47.751050561593836</v>
      </c>
      <c r="O42" s="465">
        <v>48.033025635062771</v>
      </c>
      <c r="P42" s="465">
        <v>48.048008566800135</v>
      </c>
      <c r="Q42" s="465">
        <v>48.090511674594794</v>
      </c>
      <c r="R42" s="465">
        <v>48.092812507435475</v>
      </c>
    </row>
    <row r="43" spans="2:18">
      <c r="B43" s="464" t="s">
        <v>926</v>
      </c>
      <c r="C43" s="464" t="s">
        <v>926</v>
      </c>
      <c r="D43" s="465">
        <v>31.92682812740949</v>
      </c>
      <c r="E43" s="465">
        <v>33.017536780592543</v>
      </c>
      <c r="F43" s="465">
        <v>32.686148957572456</v>
      </c>
      <c r="G43" s="465">
        <v>33.581058655475651</v>
      </c>
      <c r="H43" s="465">
        <v>33.034958134099526</v>
      </c>
      <c r="I43" s="465">
        <v>33.309288111584365</v>
      </c>
      <c r="J43" s="465">
        <v>34.086866070631743</v>
      </c>
      <c r="K43" s="465">
        <v>34.682990374816555</v>
      </c>
      <c r="L43" s="465">
        <v>33.815915615446094</v>
      </c>
      <c r="M43" s="465">
        <v>33.342492796829866</v>
      </c>
      <c r="N43" s="465">
        <v>33.009067868861599</v>
      </c>
      <c r="O43" s="465">
        <v>32.844022529517247</v>
      </c>
      <c r="P43" s="465">
        <v>32.844022529517282</v>
      </c>
      <c r="Q43" s="465">
        <v>32.844022529517304</v>
      </c>
      <c r="R43" s="465">
        <v>32.844022529517254</v>
      </c>
    </row>
    <row r="44" spans="2:18">
      <c r="B44" s="464" t="s">
        <v>97</v>
      </c>
      <c r="C44" s="464" t="s">
        <v>97</v>
      </c>
      <c r="D44" s="465">
        <v>35.664825558143612</v>
      </c>
      <c r="E44" s="465">
        <v>35.748553616401473</v>
      </c>
      <c r="F44" s="465">
        <v>36.179950496658847</v>
      </c>
      <c r="G44" s="465">
        <v>36.642641179314424</v>
      </c>
      <c r="H44" s="465">
        <v>36.564769793409688</v>
      </c>
      <c r="I44" s="465">
        <v>36.31097577320417</v>
      </c>
      <c r="J44" s="465">
        <v>36.859556862600101</v>
      </c>
      <c r="K44" s="465">
        <v>38.013061139629798</v>
      </c>
      <c r="L44" s="465">
        <v>38.883820040478554</v>
      </c>
      <c r="M44" s="465">
        <v>39.179955742487124</v>
      </c>
      <c r="N44" s="465">
        <v>39.179116443154349</v>
      </c>
      <c r="O44" s="465">
        <v>38.874349301721125</v>
      </c>
      <c r="P44" s="465">
        <v>37.266211784709959</v>
      </c>
      <c r="Q44" s="465">
        <v>35.938560736786748</v>
      </c>
      <c r="R44" s="465">
        <v>34.668381370992904</v>
      </c>
    </row>
    <row r="45" spans="2:18">
      <c r="B45" s="466" t="s">
        <v>99</v>
      </c>
      <c r="C45" s="466" t="s">
        <v>99</v>
      </c>
      <c r="D45" s="467">
        <v>31.379533835593215</v>
      </c>
      <c r="E45" s="467">
        <v>31.660085054260882</v>
      </c>
      <c r="F45" s="467">
        <v>31.179357157757913</v>
      </c>
      <c r="G45" s="467">
        <v>30.646525323003388</v>
      </c>
      <c r="H45" s="467">
        <v>30.22939330811386</v>
      </c>
      <c r="I45" s="467">
        <v>30.222352140573733</v>
      </c>
      <c r="J45" s="467">
        <v>30.81469294340814</v>
      </c>
      <c r="K45" s="467">
        <v>31.396274727831671</v>
      </c>
      <c r="L45" s="467">
        <v>32.991642738054999</v>
      </c>
      <c r="M45" s="467">
        <v>31.888991716821629</v>
      </c>
      <c r="N45" s="467">
        <v>31.56232928464668</v>
      </c>
      <c r="O45" s="467">
        <v>31.31162958083948</v>
      </c>
      <c r="P45" s="467">
        <v>31.666313529980034</v>
      </c>
      <c r="Q45" s="467">
        <v>31.944682212209436</v>
      </c>
      <c r="R45" s="467">
        <v>31.986049687475827</v>
      </c>
    </row>
    <row r="46" spans="2:18" ht="6" customHeight="1">
      <c r="B46" s="464"/>
      <c r="C46" s="464"/>
      <c r="D46" s="465"/>
      <c r="E46" s="465"/>
      <c r="F46" s="465"/>
      <c r="G46" s="465"/>
      <c r="H46" s="465"/>
      <c r="I46" s="465"/>
      <c r="J46" s="465"/>
      <c r="K46" s="465"/>
      <c r="L46" s="465"/>
      <c r="M46" s="465"/>
      <c r="N46" s="465"/>
      <c r="O46" s="465"/>
      <c r="P46" s="465"/>
      <c r="Q46" s="465"/>
      <c r="R46" s="465"/>
    </row>
    <row r="47" spans="2:18" ht="10.5" customHeight="1">
      <c r="B47" s="613" t="s">
        <v>927</v>
      </c>
      <c r="C47" s="613"/>
      <c r="D47" s="613"/>
      <c r="E47" s="613"/>
      <c r="F47" s="613"/>
      <c r="G47" s="613"/>
      <c r="H47" s="613"/>
      <c r="I47" s="613"/>
      <c r="J47" s="613"/>
      <c r="K47" s="613"/>
      <c r="L47" s="613"/>
      <c r="M47" s="613"/>
      <c r="N47" s="613"/>
      <c r="O47" s="613"/>
      <c r="P47" s="613"/>
      <c r="Q47" s="468"/>
      <c r="R47" s="468"/>
    </row>
    <row r="48" spans="2:18" ht="15.6" customHeight="1">
      <c r="B48" s="613" t="s">
        <v>948</v>
      </c>
      <c r="C48" s="613"/>
      <c r="D48" s="613"/>
      <c r="E48" s="613"/>
      <c r="F48" s="613"/>
      <c r="G48" s="613"/>
      <c r="H48" s="613"/>
      <c r="I48" s="613"/>
      <c r="J48" s="613"/>
      <c r="K48" s="613"/>
      <c r="L48" s="613"/>
      <c r="M48" s="613"/>
      <c r="N48" s="613"/>
      <c r="O48" s="613"/>
      <c r="P48" s="613"/>
      <c r="Q48" s="468"/>
      <c r="R48" s="468"/>
    </row>
    <row r="49" spans="2:18">
      <c r="B49" s="464"/>
      <c r="C49" s="464"/>
      <c r="D49" s="469"/>
      <c r="E49" s="469"/>
      <c r="F49" s="469"/>
      <c r="G49" s="469"/>
      <c r="H49" s="469"/>
      <c r="I49" s="469"/>
      <c r="J49" s="469"/>
      <c r="K49" s="469"/>
      <c r="L49" s="469"/>
      <c r="M49" s="469"/>
      <c r="N49" s="469"/>
      <c r="O49" s="469"/>
      <c r="P49" s="469"/>
      <c r="Q49" s="469"/>
      <c r="R49" s="469"/>
    </row>
    <row r="50" spans="2:18">
      <c r="B50" s="464"/>
      <c r="C50" s="464"/>
      <c r="D50" s="469"/>
      <c r="E50" s="469"/>
      <c r="F50" s="469"/>
      <c r="G50" s="469"/>
      <c r="H50" s="469"/>
      <c r="I50" s="469"/>
      <c r="J50" s="469"/>
      <c r="K50" s="469"/>
      <c r="L50" s="469"/>
      <c r="M50" s="469"/>
      <c r="N50" s="469"/>
      <c r="O50" s="469"/>
      <c r="P50" s="469"/>
      <c r="Q50" s="469"/>
      <c r="R50" s="469"/>
    </row>
    <row r="51" spans="2:18">
      <c r="B51" s="464"/>
      <c r="C51" s="464"/>
      <c r="D51" s="469"/>
      <c r="E51" s="469"/>
      <c r="F51" s="469"/>
      <c r="G51" s="469"/>
      <c r="H51" s="469"/>
      <c r="I51" s="469"/>
      <c r="J51" s="469"/>
      <c r="K51" s="469"/>
      <c r="L51" s="469"/>
      <c r="M51" s="469"/>
      <c r="N51" s="469"/>
      <c r="O51" s="469"/>
      <c r="P51" s="469"/>
      <c r="Q51" s="469"/>
      <c r="R51" s="469"/>
    </row>
    <row r="52" spans="2:18">
      <c r="B52" s="464"/>
      <c r="C52" s="464"/>
      <c r="D52" s="469"/>
      <c r="E52" s="469"/>
      <c r="F52" s="469"/>
      <c r="G52" s="469"/>
      <c r="H52" s="469"/>
      <c r="I52" s="469"/>
      <c r="J52" s="469"/>
      <c r="K52" s="469"/>
      <c r="L52" s="469"/>
      <c r="M52" s="469"/>
      <c r="N52" s="469"/>
      <c r="O52" s="469"/>
      <c r="P52" s="469"/>
      <c r="Q52" s="469"/>
      <c r="R52" s="469"/>
    </row>
    <row r="53" spans="2:18">
      <c r="B53" s="464"/>
      <c r="C53" s="464"/>
      <c r="D53" s="469"/>
      <c r="E53" s="469"/>
      <c r="F53" s="469"/>
      <c r="G53" s="469"/>
      <c r="H53" s="469"/>
      <c r="I53" s="469"/>
      <c r="J53" s="469"/>
      <c r="K53" s="469"/>
      <c r="L53" s="469"/>
      <c r="M53" s="469"/>
      <c r="N53" s="469"/>
      <c r="O53" s="469"/>
      <c r="P53" s="469"/>
      <c r="Q53" s="469"/>
      <c r="R53" s="469"/>
    </row>
    <row r="54" spans="2:18">
      <c r="B54" s="464"/>
      <c r="C54" s="464"/>
      <c r="D54" s="469"/>
      <c r="E54" s="469"/>
      <c r="F54" s="469"/>
      <c r="G54" s="469"/>
      <c r="H54" s="469"/>
      <c r="I54" s="469"/>
      <c r="J54" s="469"/>
      <c r="K54" s="469"/>
      <c r="L54" s="469"/>
      <c r="M54" s="469"/>
      <c r="N54" s="469"/>
      <c r="O54" s="469"/>
      <c r="P54" s="469"/>
      <c r="Q54" s="469"/>
      <c r="R54" s="469"/>
    </row>
    <row r="55" spans="2:18">
      <c r="B55" s="464"/>
      <c r="C55" s="464"/>
      <c r="D55" s="469"/>
      <c r="E55" s="469"/>
      <c r="F55" s="469"/>
      <c r="G55" s="469"/>
      <c r="H55" s="469"/>
      <c r="I55" s="469"/>
      <c r="J55" s="469"/>
      <c r="K55" s="469"/>
      <c r="L55" s="469"/>
      <c r="M55" s="469"/>
      <c r="N55" s="469"/>
      <c r="O55" s="469"/>
      <c r="P55" s="469"/>
      <c r="Q55" s="469"/>
      <c r="R55" s="469"/>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sheetData>
  <mergeCells count="3">
    <mergeCell ref="B2:N2"/>
    <mergeCell ref="B47:P47"/>
    <mergeCell ref="B48:P48"/>
  </mergeCells>
  <conditionalFormatting sqref="B9:R45">
    <cfRule type="expression" dxfId="39" priority="1">
      <formula>MOD(ROW(),2)=0</formula>
    </cfRule>
  </conditionalFormatting>
  <pageMargins left="0.7" right="0.7" top="0.75" bottom="0.75" header="0.3" footer="0.3"/>
  <pageSetup scale="1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F7BB-2E9B-45F3-91B3-6DEA5F90C25F}">
  <sheetPr codeName="Sheet9">
    <pageSetUpPr fitToPage="1"/>
  </sheetPr>
  <dimension ref="B2:R79"/>
  <sheetViews>
    <sheetView zoomScale="85" zoomScaleNormal="85"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8.85546875" style="452" customWidth="1" collapsed="1"/>
    <col min="5" max="14" width="8.85546875" style="452" customWidth="1"/>
    <col min="15" max="18" width="8.140625" style="452" customWidth="1"/>
    <col min="19" max="16384" width="9.140625" style="451"/>
  </cols>
  <sheetData>
    <row r="2" spans="2:18" ht="13.9" customHeight="1">
      <c r="B2" s="616" t="str">
        <f>"Table A6. Advanced Economies: General Government Expenditure, "&amp;D4&amp;"–"&amp;RIGHT(R4,2)</f>
        <v>Table A6. Advanced Economies: General Government Expenditure, 2014–28</v>
      </c>
      <c r="C2" s="616"/>
      <c r="D2" s="616"/>
      <c r="E2" s="616"/>
      <c r="F2" s="616"/>
      <c r="G2" s="616"/>
      <c r="H2" s="616"/>
      <c r="I2" s="616"/>
      <c r="J2" s="616"/>
      <c r="K2" s="616"/>
      <c r="L2" s="616"/>
      <c r="M2" s="616"/>
      <c r="N2" s="616"/>
      <c r="O2" s="485"/>
      <c r="P2" s="485"/>
      <c r="Q2" s="485"/>
      <c r="R2" s="485"/>
    </row>
    <row r="3" spans="2:18" ht="15.75">
      <c r="B3" s="486" t="s">
        <v>81</v>
      </c>
      <c r="C3" s="455"/>
      <c r="D3" s="455"/>
      <c r="E3" s="455"/>
      <c r="F3" s="455"/>
      <c r="G3" s="455"/>
      <c r="H3" s="455"/>
      <c r="I3" s="455"/>
      <c r="J3" s="455"/>
      <c r="K3" s="455"/>
      <c r="L3" s="455"/>
      <c r="M3" s="455"/>
      <c r="N3" s="455"/>
      <c r="O3" s="455"/>
      <c r="P3" s="455"/>
      <c r="Q3" s="455"/>
      <c r="R3" s="478"/>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c r="B5" s="459" t="s">
        <v>196</v>
      </c>
      <c r="C5" s="460" t="s">
        <v>84</v>
      </c>
      <c r="D5" s="461">
        <v>39.596811315436518</v>
      </c>
      <c r="E5" s="461">
        <v>38.72626983706278</v>
      </c>
      <c r="F5" s="461">
        <v>38.640799967550976</v>
      </c>
      <c r="G5" s="461">
        <v>38.297855441515367</v>
      </c>
      <c r="H5" s="461">
        <v>38.366858117577998</v>
      </c>
      <c r="I5" s="461">
        <v>38.671635719666583</v>
      </c>
      <c r="J5" s="461">
        <v>46.350317999030345</v>
      </c>
      <c r="K5" s="461">
        <v>44.471666848956218</v>
      </c>
      <c r="L5" s="461">
        <v>41.663018496450071</v>
      </c>
      <c r="M5" s="461">
        <v>41.263255227384249</v>
      </c>
      <c r="N5" s="461">
        <v>40.710941680794392</v>
      </c>
      <c r="O5" s="461">
        <v>40.44675674847754</v>
      </c>
      <c r="P5" s="461">
        <v>40.300438596613702</v>
      </c>
      <c r="Q5" s="461">
        <v>40.164673593663366</v>
      </c>
      <c r="R5" s="461">
        <v>40.152737289509581</v>
      </c>
    </row>
    <row r="6" spans="2:18">
      <c r="B6" s="462" t="s">
        <v>88</v>
      </c>
      <c r="C6" s="460" t="s">
        <v>88</v>
      </c>
      <c r="D6" s="461">
        <v>49.250869220544466</v>
      </c>
      <c r="E6" s="461">
        <v>48.334732944069955</v>
      </c>
      <c r="F6" s="461">
        <v>47.68314443269275</v>
      </c>
      <c r="G6" s="461">
        <v>47.073493008734893</v>
      </c>
      <c r="H6" s="461">
        <v>46.822057885822865</v>
      </c>
      <c r="I6" s="461">
        <v>46.879559157993334</v>
      </c>
      <c r="J6" s="461">
        <v>53.415809320650339</v>
      </c>
      <c r="K6" s="461">
        <v>52.548424996906732</v>
      </c>
      <c r="L6" s="461">
        <v>50.953244755274142</v>
      </c>
      <c r="M6" s="461">
        <v>50.806240844286407</v>
      </c>
      <c r="N6" s="461">
        <v>49.283492966774709</v>
      </c>
      <c r="O6" s="461">
        <v>48.62835173774458</v>
      </c>
      <c r="P6" s="461">
        <v>48.240896182476604</v>
      </c>
      <c r="Q6" s="461">
        <v>47.984979801208986</v>
      </c>
      <c r="R6" s="461">
        <v>47.875895911967795</v>
      </c>
    </row>
    <row r="7" spans="2:18">
      <c r="B7" s="462" t="s">
        <v>914</v>
      </c>
      <c r="C7" s="462" t="s">
        <v>915</v>
      </c>
      <c r="D7" s="461">
        <v>40.055507041928415</v>
      </c>
      <c r="E7" s="461">
        <v>39.285572664074046</v>
      </c>
      <c r="F7" s="461">
        <v>39.334671501696683</v>
      </c>
      <c r="G7" s="461">
        <v>39.1480587260913</v>
      </c>
      <c r="H7" s="461">
        <v>39.184475201092518</v>
      </c>
      <c r="I7" s="461">
        <v>39.372562891160072</v>
      </c>
      <c r="J7" s="461">
        <v>47.754895204907449</v>
      </c>
      <c r="K7" s="461">
        <v>45.994865253539338</v>
      </c>
      <c r="L7" s="461">
        <v>42.799627261898486</v>
      </c>
      <c r="M7" s="461">
        <v>42.319794222974295</v>
      </c>
      <c r="N7" s="461">
        <v>41.741999007734989</v>
      </c>
      <c r="O7" s="461">
        <v>41.44318791689178</v>
      </c>
      <c r="P7" s="461">
        <v>41.309889175640109</v>
      </c>
      <c r="Q7" s="461">
        <v>41.148255365003244</v>
      </c>
      <c r="R7" s="461">
        <v>41.161123366142974</v>
      </c>
    </row>
    <row r="8" spans="2:18">
      <c r="B8" s="462" t="s">
        <v>916</v>
      </c>
      <c r="C8" s="463" t="s">
        <v>86</v>
      </c>
      <c r="D8" s="461">
        <v>39.167142840315101</v>
      </c>
      <c r="E8" s="461">
        <v>38.458469139732784</v>
      </c>
      <c r="F8" s="461">
        <v>38.497768627559388</v>
      </c>
      <c r="G8" s="461">
        <v>38.277648044931219</v>
      </c>
      <c r="H8" s="461">
        <v>38.341802023234052</v>
      </c>
      <c r="I8" s="461">
        <v>38.712690349339013</v>
      </c>
      <c r="J8" s="461">
        <v>46.763662541235163</v>
      </c>
      <c r="K8" s="461">
        <v>45.070161922488772</v>
      </c>
      <c r="L8" s="461">
        <v>42.115637218111544</v>
      </c>
      <c r="M8" s="461">
        <v>41.613177645945115</v>
      </c>
      <c r="N8" s="461">
        <v>41.07955539666635</v>
      </c>
      <c r="O8" s="461">
        <v>40.796104489037063</v>
      </c>
      <c r="P8" s="461">
        <v>40.670583524294365</v>
      </c>
      <c r="Q8" s="461">
        <v>40.515740915930863</v>
      </c>
      <c r="R8" s="461">
        <v>40.51722362408929</v>
      </c>
    </row>
    <row r="9" spans="2:18" ht="15" customHeight="1">
      <c r="B9" s="464" t="s">
        <v>917</v>
      </c>
      <c r="C9" s="464" t="s">
        <v>917</v>
      </c>
      <c r="D9" s="465">
        <v>31.662055847061545</v>
      </c>
      <c r="E9" s="465">
        <v>32.951309078508331</v>
      </c>
      <c r="F9" s="465">
        <v>34.117882244751343</v>
      </c>
      <c r="G9" s="465">
        <v>34.697094885079977</v>
      </c>
      <c r="H9" s="465">
        <v>35.868699472712798</v>
      </c>
      <c r="I9" s="465">
        <v>35.792753809226447</v>
      </c>
      <c r="J9" s="465">
        <v>43.445271590105449</v>
      </c>
      <c r="K9" s="465">
        <v>39.150039964197177</v>
      </c>
      <c r="L9" s="465">
        <v>35.970697896554235</v>
      </c>
      <c r="M9" s="465">
        <v>36.212240744327659</v>
      </c>
      <c r="N9" s="465">
        <v>35.66296253854695</v>
      </c>
      <c r="O9" s="465">
        <v>35.511095076079421</v>
      </c>
      <c r="P9" s="465">
        <v>35.349092792556746</v>
      </c>
      <c r="Q9" s="465">
        <v>35.15025565593961</v>
      </c>
      <c r="R9" s="465">
        <v>35.035840310239678</v>
      </c>
    </row>
    <row r="10" spans="2:18" ht="13.5" customHeight="1">
      <c r="B10" s="464" t="s">
        <v>279</v>
      </c>
      <c r="C10" s="464" t="s">
        <v>279</v>
      </c>
      <c r="D10" s="465">
        <v>36.852291628966569</v>
      </c>
      <c r="E10" s="465">
        <v>37.388368606981814</v>
      </c>
      <c r="F10" s="465">
        <v>37.374207773169232</v>
      </c>
      <c r="G10" s="465">
        <v>36.872789793702978</v>
      </c>
      <c r="H10" s="465">
        <v>36.99091743753791</v>
      </c>
      <c r="I10" s="465">
        <v>39.053857453104023</v>
      </c>
      <c r="J10" s="465">
        <v>44.62995812876369</v>
      </c>
      <c r="K10" s="465">
        <v>42.189156967776363</v>
      </c>
      <c r="L10" s="465">
        <v>38.431024651867638</v>
      </c>
      <c r="M10" s="465">
        <v>39.012137641550865</v>
      </c>
      <c r="N10" s="465">
        <v>39.433022615895034</v>
      </c>
      <c r="O10" s="465">
        <v>39.330801707628119</v>
      </c>
      <c r="P10" s="465">
        <v>39.327747050586645</v>
      </c>
      <c r="Q10" s="465">
        <v>39.279823250593907</v>
      </c>
      <c r="R10" s="465">
        <v>39.049414305922518</v>
      </c>
    </row>
    <row r="11" spans="2:18" ht="13.5" customHeight="1">
      <c r="B11" s="464" t="s">
        <v>439</v>
      </c>
      <c r="C11" s="464" t="s">
        <v>439</v>
      </c>
      <c r="D11" s="465">
        <v>52.324880885593437</v>
      </c>
      <c r="E11" s="465">
        <v>51.027152290372676</v>
      </c>
      <c r="F11" s="465">
        <v>50.071315886168655</v>
      </c>
      <c r="G11" s="465">
        <v>49.298892159874406</v>
      </c>
      <c r="H11" s="465">
        <v>48.757644116995145</v>
      </c>
      <c r="I11" s="465">
        <v>48.608589001111362</v>
      </c>
      <c r="J11" s="465">
        <v>56.741041089797072</v>
      </c>
      <c r="K11" s="465">
        <v>55.955280505722904</v>
      </c>
      <c r="L11" s="465">
        <v>52.387331618426913</v>
      </c>
      <c r="M11" s="465">
        <v>52.417425624053834</v>
      </c>
      <c r="N11" s="465">
        <v>50.868750596397973</v>
      </c>
      <c r="O11" s="465">
        <v>50.63043172121121</v>
      </c>
      <c r="P11" s="465">
        <v>50.640542485138127</v>
      </c>
      <c r="Q11" s="465">
        <v>50.781356077083103</v>
      </c>
      <c r="R11" s="465">
        <v>50.768688141655495</v>
      </c>
    </row>
    <row r="12" spans="2:18" ht="13.5" customHeight="1">
      <c r="B12" s="464" t="s">
        <v>444</v>
      </c>
      <c r="C12" s="464" t="s">
        <v>444</v>
      </c>
      <c r="D12" s="465">
        <v>55.599770721878691</v>
      </c>
      <c r="E12" s="465">
        <v>53.719588578888512</v>
      </c>
      <c r="F12" s="465">
        <v>53.117662787588507</v>
      </c>
      <c r="G12" s="465">
        <v>52.030288731603193</v>
      </c>
      <c r="H12" s="465">
        <v>52.26509669580112</v>
      </c>
      <c r="I12" s="465">
        <v>51.855111826092404</v>
      </c>
      <c r="J12" s="465">
        <v>58.901541017689297</v>
      </c>
      <c r="K12" s="465">
        <v>55.492263772316811</v>
      </c>
      <c r="L12" s="465">
        <v>53.670122870123059</v>
      </c>
      <c r="M12" s="465">
        <v>55.959717618231153</v>
      </c>
      <c r="N12" s="465">
        <v>56.730638217865639</v>
      </c>
      <c r="O12" s="465">
        <v>56.900282342186294</v>
      </c>
      <c r="P12" s="465">
        <v>56.887655599244901</v>
      </c>
      <c r="Q12" s="465">
        <v>56.996484443450235</v>
      </c>
      <c r="R12" s="465">
        <v>57.193714383824002</v>
      </c>
    </row>
    <row r="13" spans="2:18" ht="13.5" customHeight="1">
      <c r="B13" s="464" t="s">
        <v>87</v>
      </c>
      <c r="C13" s="464" t="s">
        <v>87</v>
      </c>
      <c r="D13" s="465">
        <v>38.370483102394211</v>
      </c>
      <c r="E13" s="465">
        <v>40.018418028969464</v>
      </c>
      <c r="F13" s="465">
        <v>40.753233096441186</v>
      </c>
      <c r="G13" s="465">
        <v>40.455405647186986</v>
      </c>
      <c r="H13" s="465">
        <v>40.662350296890196</v>
      </c>
      <c r="I13" s="465">
        <v>40.589644630381841</v>
      </c>
      <c r="J13" s="465">
        <v>52.709735025100912</v>
      </c>
      <c r="K13" s="465">
        <v>45.856022709432267</v>
      </c>
      <c r="L13" s="465">
        <v>41.475929753809446</v>
      </c>
      <c r="M13" s="465">
        <v>41.143130914205251</v>
      </c>
      <c r="N13" s="465">
        <v>40.988364851986404</v>
      </c>
      <c r="O13" s="465">
        <v>40.948781937736058</v>
      </c>
      <c r="P13" s="465">
        <v>40.852531415723455</v>
      </c>
      <c r="Q13" s="465">
        <v>40.867039237778272</v>
      </c>
      <c r="R13" s="465">
        <v>40.904079698925962</v>
      </c>
    </row>
    <row r="14" spans="2:18" ht="13.5" customHeight="1">
      <c r="B14" s="464" t="s">
        <v>430</v>
      </c>
      <c r="C14" s="464" t="s">
        <v>430</v>
      </c>
      <c r="D14" s="465">
        <v>48.600946761492381</v>
      </c>
      <c r="E14" s="465">
        <v>47.487317414501881</v>
      </c>
      <c r="F14" s="465">
        <v>46.443134520715809</v>
      </c>
      <c r="G14" s="465">
        <v>44.694050648249124</v>
      </c>
      <c r="H14" s="465">
        <v>45.492374643764919</v>
      </c>
      <c r="I14" s="465">
        <v>46.061878251346172</v>
      </c>
      <c r="J14" s="465">
        <v>53.982081623753743</v>
      </c>
      <c r="K14" s="465">
        <v>48.538860637713029</v>
      </c>
      <c r="L14" s="465">
        <v>45.686170420631569</v>
      </c>
      <c r="M14" s="465">
        <v>47.499339561148233</v>
      </c>
      <c r="N14" s="465">
        <v>46.373338029996127</v>
      </c>
      <c r="O14" s="465">
        <v>45.791762397064382</v>
      </c>
      <c r="P14" s="465">
        <v>45.620607032434698</v>
      </c>
      <c r="Q14" s="465">
        <v>45.087200196768613</v>
      </c>
      <c r="R14" s="465">
        <v>44.955910181527628</v>
      </c>
    </row>
    <row r="15" spans="2:18" ht="13.5" customHeight="1">
      <c r="B15" s="464" t="s">
        <v>421</v>
      </c>
      <c r="C15" s="464" t="s">
        <v>421</v>
      </c>
      <c r="D15" s="465">
        <v>40.31562449950809</v>
      </c>
      <c r="E15" s="465">
        <v>39.346518872708828</v>
      </c>
      <c r="F15" s="465">
        <v>37.299091176841841</v>
      </c>
      <c r="G15" s="465">
        <v>36.35285024344855</v>
      </c>
      <c r="H15" s="465">
        <v>42.56727765961864</v>
      </c>
      <c r="I15" s="465">
        <v>38.098731020318347</v>
      </c>
      <c r="J15" s="465">
        <v>44.629824160767299</v>
      </c>
      <c r="K15" s="465">
        <v>43.075424251003383</v>
      </c>
      <c r="L15" s="465">
        <v>39.859394262486262</v>
      </c>
      <c r="M15" s="465">
        <v>39.141249115654013</v>
      </c>
      <c r="N15" s="465">
        <v>39.272628329933177</v>
      </c>
      <c r="O15" s="465">
        <v>39.069656280018471</v>
      </c>
      <c r="P15" s="465">
        <v>38.734947853494617</v>
      </c>
      <c r="Q15" s="465">
        <v>38.772706639552666</v>
      </c>
      <c r="R15" s="465">
        <v>38.753822841067098</v>
      </c>
    </row>
    <row r="16" spans="2:18" ht="13.5" customHeight="1">
      <c r="B16" s="464" t="s">
        <v>919</v>
      </c>
      <c r="C16" s="464" t="s">
        <v>919</v>
      </c>
      <c r="D16" s="465">
        <v>42.622060184556645</v>
      </c>
      <c r="E16" s="465">
        <v>41.934129491686953</v>
      </c>
      <c r="F16" s="465">
        <v>39.751021133976238</v>
      </c>
      <c r="G16" s="465">
        <v>38.980085674431294</v>
      </c>
      <c r="H16" s="465">
        <v>40.594622456988958</v>
      </c>
      <c r="I16" s="465">
        <v>41.053903497851508</v>
      </c>
      <c r="J16" s="465">
        <v>47.218779880861028</v>
      </c>
      <c r="K16" s="465">
        <v>46.513695101606444</v>
      </c>
      <c r="L16" s="465">
        <v>44.841920291095754</v>
      </c>
      <c r="M16" s="465">
        <v>46.167368827310476</v>
      </c>
      <c r="N16" s="465">
        <v>43.612666860174272</v>
      </c>
      <c r="O16" s="465">
        <v>42.722742004675254</v>
      </c>
      <c r="P16" s="465">
        <v>42.708818378171614</v>
      </c>
      <c r="Q16" s="465">
        <v>42.736300554783099</v>
      </c>
      <c r="R16" s="465">
        <v>42.757777091379474</v>
      </c>
    </row>
    <row r="17" spans="2:18" ht="13.5" customHeight="1">
      <c r="B17" s="464" t="s">
        <v>451</v>
      </c>
      <c r="C17" s="464" t="s">
        <v>451</v>
      </c>
      <c r="D17" s="465">
        <v>55.217712810391859</v>
      </c>
      <c r="E17" s="465">
        <v>54.527646442959878</v>
      </c>
      <c r="F17" s="465">
        <v>52.478616421127342</v>
      </c>
      <c r="G17" s="465">
        <v>50.549531227199765</v>
      </c>
      <c r="H17" s="465">
        <v>50.548325467145069</v>
      </c>
      <c r="I17" s="465">
        <v>49.667778039814706</v>
      </c>
      <c r="J17" s="465">
        <v>53.536094185686252</v>
      </c>
      <c r="K17" s="465">
        <v>50.803797015945761</v>
      </c>
      <c r="L17" s="465">
        <v>49.188978342513742</v>
      </c>
      <c r="M17" s="465">
        <v>49.388886719146555</v>
      </c>
      <c r="N17" s="465">
        <v>49.786833091352442</v>
      </c>
      <c r="O17" s="465">
        <v>50.040228947230183</v>
      </c>
      <c r="P17" s="465">
        <v>50.386180973196147</v>
      </c>
      <c r="Q17" s="465">
        <v>50.492647143509409</v>
      </c>
      <c r="R17" s="465">
        <v>50.546771352561514</v>
      </c>
    </row>
    <row r="18" spans="2:18" ht="13.5" customHeight="1">
      <c r="B18" s="464" t="s">
        <v>423</v>
      </c>
      <c r="C18" s="464" t="s">
        <v>423</v>
      </c>
      <c r="D18" s="465">
        <v>37.764431074463928</v>
      </c>
      <c r="E18" s="465">
        <v>39.52476253394709</v>
      </c>
      <c r="F18" s="465">
        <v>39.397367102111005</v>
      </c>
      <c r="G18" s="465">
        <v>39.236154962546621</v>
      </c>
      <c r="H18" s="465">
        <v>39.272841416665095</v>
      </c>
      <c r="I18" s="465">
        <v>39.388101378979734</v>
      </c>
      <c r="J18" s="465">
        <v>44.831636505833977</v>
      </c>
      <c r="K18" s="465">
        <v>41.280435758780747</v>
      </c>
      <c r="L18" s="465">
        <v>40.185822992611129</v>
      </c>
      <c r="M18" s="465">
        <v>43.215143564663215</v>
      </c>
      <c r="N18" s="465">
        <v>42.425727400102176</v>
      </c>
      <c r="O18" s="465">
        <v>41.793939151002682</v>
      </c>
      <c r="P18" s="465">
        <v>41.363934884781216</v>
      </c>
      <c r="Q18" s="465">
        <v>40.870832071527168</v>
      </c>
      <c r="R18" s="465">
        <v>40.870832071527232</v>
      </c>
    </row>
    <row r="19" spans="2:18" ht="13.5" customHeight="1">
      <c r="B19" s="464" t="s">
        <v>481</v>
      </c>
      <c r="C19" s="464" t="s">
        <v>481</v>
      </c>
      <c r="D19" s="465">
        <v>57.273909239863322</v>
      </c>
      <c r="E19" s="465">
        <v>56.489817158265723</v>
      </c>
      <c r="F19" s="465">
        <v>55.646888993094819</v>
      </c>
      <c r="G19" s="465">
        <v>53.632551336494316</v>
      </c>
      <c r="H19" s="465">
        <v>53.38042165320266</v>
      </c>
      <c r="I19" s="465">
        <v>53.338225116527283</v>
      </c>
      <c r="J19" s="465">
        <v>57.147178181634864</v>
      </c>
      <c r="K19" s="465">
        <v>55.698460457951903</v>
      </c>
      <c r="L19" s="465">
        <v>54.049726483371394</v>
      </c>
      <c r="M19" s="465">
        <v>54.599320592155642</v>
      </c>
      <c r="N19" s="465">
        <v>54.173803029588171</v>
      </c>
      <c r="O19" s="465">
        <v>54.471200882554051</v>
      </c>
      <c r="P19" s="465">
        <v>54.232855183062831</v>
      </c>
      <c r="Q19" s="465">
        <v>54.073511726292253</v>
      </c>
      <c r="R19" s="465">
        <v>54.113806410987962</v>
      </c>
    </row>
    <row r="20" spans="2:18" ht="13.5" customHeight="1">
      <c r="B20" s="464" t="s">
        <v>90</v>
      </c>
      <c r="C20" s="464" t="s">
        <v>90</v>
      </c>
      <c r="D20" s="465">
        <v>57.213602417008367</v>
      </c>
      <c r="E20" s="465">
        <v>56.79757208774253</v>
      </c>
      <c r="F20" s="465">
        <v>56.685849384704291</v>
      </c>
      <c r="G20" s="465">
        <v>56.503450659529996</v>
      </c>
      <c r="H20" s="465">
        <v>55.64455047293918</v>
      </c>
      <c r="I20" s="465">
        <v>55.351806156376981</v>
      </c>
      <c r="J20" s="465">
        <v>61.512443204795261</v>
      </c>
      <c r="K20" s="465">
        <v>59.079814776796916</v>
      </c>
      <c r="L20" s="465">
        <v>58.468187775428106</v>
      </c>
      <c r="M20" s="465">
        <v>58.061256889277779</v>
      </c>
      <c r="N20" s="465">
        <v>56.663970951393928</v>
      </c>
      <c r="O20" s="465">
        <v>56.049856948238777</v>
      </c>
      <c r="P20" s="465">
        <v>55.58544125677242</v>
      </c>
      <c r="Q20" s="465">
        <v>55.385657715120509</v>
      </c>
      <c r="R20" s="465">
        <v>55.521113499883924</v>
      </c>
    </row>
    <row r="21" spans="2:18" ht="13.5" customHeight="1">
      <c r="B21" s="464" t="s">
        <v>91</v>
      </c>
      <c r="C21" s="464" t="s">
        <v>91</v>
      </c>
      <c r="D21" s="465">
        <v>44.303023471099223</v>
      </c>
      <c r="E21" s="465">
        <v>44.141095374366365</v>
      </c>
      <c r="F21" s="465">
        <v>44.353726305849925</v>
      </c>
      <c r="G21" s="465">
        <v>44.175155180646186</v>
      </c>
      <c r="H21" s="465">
        <v>44.320997192054556</v>
      </c>
      <c r="I21" s="465">
        <v>44.990786753655065</v>
      </c>
      <c r="J21" s="465">
        <v>50.408171655268205</v>
      </c>
      <c r="K21" s="465">
        <v>51.252835427222877</v>
      </c>
      <c r="L21" s="465">
        <v>49.703986242743177</v>
      </c>
      <c r="M21" s="465">
        <v>50.655776671564389</v>
      </c>
      <c r="N21" s="465">
        <v>48.761758688450861</v>
      </c>
      <c r="O21" s="465">
        <v>47.851336980217532</v>
      </c>
      <c r="P21" s="465">
        <v>47.7893310204812</v>
      </c>
      <c r="Q21" s="465">
        <v>47.607891532836454</v>
      </c>
      <c r="R21" s="465">
        <v>47.606871880887546</v>
      </c>
    </row>
    <row r="22" spans="2:18" ht="13.5" customHeight="1">
      <c r="B22" s="464" t="s">
        <v>425</v>
      </c>
      <c r="C22" s="464" t="s">
        <v>425</v>
      </c>
      <c r="D22" s="465">
        <v>50.730664199146901</v>
      </c>
      <c r="E22" s="465">
        <v>51.161485295034836</v>
      </c>
      <c r="F22" s="465">
        <v>49.940593162588257</v>
      </c>
      <c r="G22" s="465">
        <v>48.496344365946307</v>
      </c>
      <c r="H22" s="465">
        <v>48.495750676661579</v>
      </c>
      <c r="I22" s="465">
        <v>47.745580880387891</v>
      </c>
      <c r="J22" s="465">
        <v>59.691665910945858</v>
      </c>
      <c r="K22" s="465">
        <v>57.447640016512999</v>
      </c>
      <c r="L22" s="465">
        <v>55.529133249166229</v>
      </c>
      <c r="M22" s="465">
        <v>50.319203493890619</v>
      </c>
      <c r="N22" s="465">
        <v>46.97988192974951</v>
      </c>
      <c r="O22" s="465">
        <v>46.238365742884405</v>
      </c>
      <c r="P22" s="465">
        <v>45.533532305138465</v>
      </c>
      <c r="Q22" s="465">
        <v>44.422527268162135</v>
      </c>
      <c r="R22" s="465">
        <v>43.696963342820993</v>
      </c>
    </row>
    <row r="23" spans="2:18" ht="13.5" customHeight="1">
      <c r="B23" s="464" t="s">
        <v>920</v>
      </c>
      <c r="C23" s="464" t="s">
        <v>920</v>
      </c>
      <c r="D23" s="465">
        <v>17.252845618606077</v>
      </c>
      <c r="E23" s="465">
        <v>18.03491417835529</v>
      </c>
      <c r="F23" s="465">
        <v>18.251465362322151</v>
      </c>
      <c r="G23" s="465">
        <v>17.361054486197169</v>
      </c>
      <c r="H23" s="465">
        <v>18.392866222057052</v>
      </c>
      <c r="I23" s="465">
        <v>20.950589904758104</v>
      </c>
      <c r="J23" s="465">
        <v>29.9072748851335</v>
      </c>
      <c r="K23" s="465">
        <v>23.708551147354743</v>
      </c>
      <c r="L23" s="465">
        <v>28.082646514289532</v>
      </c>
      <c r="M23" s="465">
        <v>24.963143231328427</v>
      </c>
      <c r="N23" s="465">
        <v>23.800848778000432</v>
      </c>
      <c r="O23" s="465">
        <v>23.37957147684671</v>
      </c>
      <c r="P23" s="465">
        <v>23.121383492172761</v>
      </c>
      <c r="Q23" s="465">
        <v>23.121383492172725</v>
      </c>
      <c r="R23" s="465">
        <v>23.121383492172761</v>
      </c>
    </row>
    <row r="24" spans="2:18" ht="13.5" customHeight="1">
      <c r="B24" s="464" t="s">
        <v>921</v>
      </c>
      <c r="C24" s="464" t="s">
        <v>921</v>
      </c>
      <c r="D24" s="465">
        <v>45.827373991065777</v>
      </c>
      <c r="E24" s="465">
        <v>43.473651231063229</v>
      </c>
      <c r="F24" s="465">
        <v>46.437260952781308</v>
      </c>
      <c r="G24" s="465">
        <v>44.409318993973791</v>
      </c>
      <c r="H24" s="465">
        <v>43.84832788102625</v>
      </c>
      <c r="I24" s="465">
        <v>43.608728908648317</v>
      </c>
      <c r="J24" s="465">
        <v>51.175072933493901</v>
      </c>
      <c r="K24" s="465">
        <v>49.761302424943011</v>
      </c>
      <c r="L24" s="465">
        <v>46.091562907549246</v>
      </c>
      <c r="M24" s="465">
        <v>44.798498961285617</v>
      </c>
      <c r="N24" s="465">
        <v>43.437888270973971</v>
      </c>
      <c r="O24" s="465">
        <v>41.871520348106984</v>
      </c>
      <c r="P24" s="465">
        <v>40.965773544897253</v>
      </c>
      <c r="Q24" s="465">
        <v>40.265914020006662</v>
      </c>
      <c r="R24" s="465">
        <v>40.26591402000669</v>
      </c>
    </row>
    <row r="25" spans="2:18" ht="13.5" customHeight="1">
      <c r="B25" s="464" t="s">
        <v>429</v>
      </c>
      <c r="C25" s="464" t="s">
        <v>429</v>
      </c>
      <c r="D25" s="465">
        <v>37.581054412179306</v>
      </c>
      <c r="E25" s="465">
        <v>29.058469213920663</v>
      </c>
      <c r="F25" s="465">
        <v>28.082426000903016</v>
      </c>
      <c r="G25" s="465">
        <v>26.155768178047641</v>
      </c>
      <c r="H25" s="465">
        <v>25.34731853375828</v>
      </c>
      <c r="I25" s="465">
        <v>24.252617709311615</v>
      </c>
      <c r="J25" s="465">
        <v>27.345132980720742</v>
      </c>
      <c r="K25" s="465">
        <v>24.822524004006727</v>
      </c>
      <c r="L25" s="465">
        <v>22.111220659009952</v>
      </c>
      <c r="M25" s="465">
        <v>20.99663556825417</v>
      </c>
      <c r="N25" s="465">
        <v>20.84533084895099</v>
      </c>
      <c r="O25" s="465">
        <v>20.931724261644817</v>
      </c>
      <c r="P25" s="465">
        <v>20.887934898365522</v>
      </c>
      <c r="Q25" s="465">
        <v>20.883872442927149</v>
      </c>
      <c r="R25" s="465">
        <v>20.672963660727937</v>
      </c>
    </row>
    <row r="26" spans="2:18" ht="13.5" customHeight="1">
      <c r="B26" s="464" t="s">
        <v>923</v>
      </c>
      <c r="C26" s="464" t="s">
        <v>923</v>
      </c>
      <c r="D26" s="465">
        <v>38.289947111033833</v>
      </c>
      <c r="E26" s="465">
        <v>37.460386055077031</v>
      </c>
      <c r="F26" s="465">
        <v>37.718187267556573</v>
      </c>
      <c r="G26" s="465">
        <v>38.304188801259457</v>
      </c>
      <c r="H26" s="465">
        <v>39.073624076070679</v>
      </c>
      <c r="I26" s="465">
        <v>38.474687109915465</v>
      </c>
      <c r="J26" s="465">
        <v>44.735383587865691</v>
      </c>
      <c r="K26" s="465">
        <v>40.246426439007685</v>
      </c>
      <c r="L26" s="465">
        <v>36.877986155237714</v>
      </c>
      <c r="M26" s="465">
        <v>36.400774277091763</v>
      </c>
      <c r="N26" s="465">
        <v>36.483833296609994</v>
      </c>
      <c r="O26" s="465">
        <v>36.762450250695281</v>
      </c>
      <c r="P26" s="465">
        <v>37.048944450961521</v>
      </c>
      <c r="Q26" s="465">
        <v>37.006223387416007</v>
      </c>
      <c r="R26" s="465">
        <v>37.040612208601246</v>
      </c>
    </row>
    <row r="27" spans="2:18" ht="13.5" customHeight="1">
      <c r="B27" s="464" t="s">
        <v>92</v>
      </c>
      <c r="C27" s="464" t="s">
        <v>92</v>
      </c>
      <c r="D27" s="465">
        <v>50.85547183677582</v>
      </c>
      <c r="E27" s="465">
        <v>50.317122309111937</v>
      </c>
      <c r="F27" s="465">
        <v>49.078392510380134</v>
      </c>
      <c r="G27" s="465">
        <v>48.76335445323113</v>
      </c>
      <c r="H27" s="465">
        <v>48.393889322007396</v>
      </c>
      <c r="I27" s="465">
        <v>48.471598220686523</v>
      </c>
      <c r="J27" s="465">
        <v>56.992751441885105</v>
      </c>
      <c r="K27" s="465">
        <v>57.315195818481648</v>
      </c>
      <c r="L27" s="465">
        <v>56.825042309338222</v>
      </c>
      <c r="M27" s="465">
        <v>53.729118425520248</v>
      </c>
      <c r="N27" s="465">
        <v>51.930005322991072</v>
      </c>
      <c r="O27" s="465">
        <v>50.797218886896864</v>
      </c>
      <c r="P27" s="465">
        <v>50.028165016390567</v>
      </c>
      <c r="Q27" s="465">
        <v>49.221061334415609</v>
      </c>
      <c r="R27" s="465">
        <v>48.535724301586534</v>
      </c>
    </row>
    <row r="28" spans="2:18" ht="13.5" customHeight="1">
      <c r="B28" s="464" t="s">
        <v>96</v>
      </c>
      <c r="C28" s="464" t="s">
        <v>96</v>
      </c>
      <c r="D28" s="465">
        <v>38.388962765060349</v>
      </c>
      <c r="E28" s="465">
        <v>37.295226086756109</v>
      </c>
      <c r="F28" s="465">
        <v>37.229276113839873</v>
      </c>
      <c r="G28" s="465">
        <v>36.686079414471507</v>
      </c>
      <c r="H28" s="465">
        <v>36.738706728220407</v>
      </c>
      <c r="I28" s="465">
        <v>37.293696896762548</v>
      </c>
      <c r="J28" s="465">
        <v>44.562667970610804</v>
      </c>
      <c r="K28" s="465">
        <v>42.75725350409089</v>
      </c>
      <c r="L28" s="465">
        <v>44.01227281596293</v>
      </c>
      <c r="M28" s="465">
        <v>42.071051101320798</v>
      </c>
      <c r="N28" s="465">
        <v>39.425309805055264</v>
      </c>
      <c r="O28" s="465">
        <v>38.324175411583617</v>
      </c>
      <c r="P28" s="465">
        <v>38.524818405575012</v>
      </c>
      <c r="Q28" s="465">
        <v>38.761511906388399</v>
      </c>
      <c r="R28" s="465">
        <v>39.134409007043772</v>
      </c>
    </row>
    <row r="29" spans="2:18" ht="13.5" customHeight="1">
      <c r="B29" s="464" t="s">
        <v>283</v>
      </c>
      <c r="C29" s="464" t="s">
        <v>283</v>
      </c>
      <c r="D29" s="465">
        <v>19.757583357913251</v>
      </c>
      <c r="E29" s="465">
        <v>19.738116611834208</v>
      </c>
      <c r="F29" s="465">
        <v>19.487590502554141</v>
      </c>
      <c r="G29" s="465">
        <v>19.637868577743333</v>
      </c>
      <c r="H29" s="465">
        <v>20.382916906478137</v>
      </c>
      <c r="I29" s="465">
        <v>22.550970562142929</v>
      </c>
      <c r="J29" s="465">
        <v>25.095348328888434</v>
      </c>
      <c r="K29" s="465">
        <v>25.844661618857938</v>
      </c>
      <c r="L29" s="465">
        <v>27.899002676399505</v>
      </c>
      <c r="M29" s="465">
        <v>25.350343037946331</v>
      </c>
      <c r="N29" s="465">
        <v>25.105358349527663</v>
      </c>
      <c r="O29" s="465">
        <v>25.105676335699151</v>
      </c>
      <c r="P29" s="465">
        <v>25.091957160031203</v>
      </c>
      <c r="Q29" s="465">
        <v>25.091957160031196</v>
      </c>
      <c r="R29" s="465">
        <v>25.091957160031221</v>
      </c>
    </row>
    <row r="30" spans="2:18" ht="13.5" customHeight="1">
      <c r="B30" s="464" t="s">
        <v>442</v>
      </c>
      <c r="C30" s="464" t="s">
        <v>442</v>
      </c>
      <c r="D30" s="465">
        <v>37.797608649875009</v>
      </c>
      <c r="E30" s="465">
        <v>37.392569307663884</v>
      </c>
      <c r="F30" s="465">
        <v>36.125235576250809</v>
      </c>
      <c r="G30" s="465">
        <v>36.488300662012108</v>
      </c>
      <c r="H30" s="465">
        <v>38.067492610534757</v>
      </c>
      <c r="I30" s="465">
        <v>37.586790022603687</v>
      </c>
      <c r="J30" s="465">
        <v>41.136114694887702</v>
      </c>
      <c r="K30" s="465">
        <v>42.874696968394751</v>
      </c>
      <c r="L30" s="465">
        <v>39.246181074047684</v>
      </c>
      <c r="M30" s="465">
        <v>41.499251586060467</v>
      </c>
      <c r="N30" s="465">
        <v>39.887254147426461</v>
      </c>
      <c r="O30" s="465">
        <v>39.507784149553174</v>
      </c>
      <c r="P30" s="465">
        <v>37.90261996715919</v>
      </c>
      <c r="Q30" s="465">
        <v>37.03708920449332</v>
      </c>
      <c r="R30" s="465">
        <v>36.713155428571348</v>
      </c>
    </row>
    <row r="31" spans="2:18" ht="13.5" customHeight="1">
      <c r="B31" s="464" t="s">
        <v>433</v>
      </c>
      <c r="C31" s="464" t="s">
        <v>433</v>
      </c>
      <c r="D31" s="465">
        <v>34.015193555177099</v>
      </c>
      <c r="E31" s="465">
        <v>34.398873230385291</v>
      </c>
      <c r="F31" s="465">
        <v>33.298105677823806</v>
      </c>
      <c r="G31" s="465">
        <v>32.401842166887832</v>
      </c>
      <c r="H31" s="465">
        <v>33.151782261749922</v>
      </c>
      <c r="I31" s="465">
        <v>33.773682122834209</v>
      </c>
      <c r="J31" s="465">
        <v>41.953003345422395</v>
      </c>
      <c r="K31" s="465">
        <v>37.253422097224941</v>
      </c>
      <c r="L31" s="465">
        <v>36.590845240117993</v>
      </c>
      <c r="M31" s="465">
        <v>39.817449148771907</v>
      </c>
      <c r="N31" s="465">
        <v>38.020200706629417</v>
      </c>
      <c r="O31" s="465">
        <v>37.013343226117144</v>
      </c>
      <c r="P31" s="465">
        <v>36.365931660612645</v>
      </c>
      <c r="Q31" s="465">
        <v>36.050801517698382</v>
      </c>
      <c r="R31" s="465">
        <v>35.982822925580933</v>
      </c>
    </row>
    <row r="32" spans="2:18" ht="13.5" customHeight="1">
      <c r="B32" s="464" t="s">
        <v>440</v>
      </c>
      <c r="C32" s="464" t="s">
        <v>440</v>
      </c>
      <c r="D32" s="465">
        <v>40.612564272377796</v>
      </c>
      <c r="E32" s="465">
        <v>40.365949791660512</v>
      </c>
      <c r="F32" s="465">
        <v>40.044849487617427</v>
      </c>
      <c r="G32" s="465">
        <v>41.277387534210781</v>
      </c>
      <c r="H32" s="465">
        <v>42.299586501932765</v>
      </c>
      <c r="I32" s="465">
        <v>43.129213113860487</v>
      </c>
      <c r="J32" s="465">
        <v>46.731550503311929</v>
      </c>
      <c r="K32" s="465">
        <v>42.888439034511379</v>
      </c>
      <c r="L32" s="465">
        <v>43.328175276653589</v>
      </c>
      <c r="M32" s="465">
        <v>46.257767129851999</v>
      </c>
      <c r="N32" s="465">
        <v>46.09500792098801</v>
      </c>
      <c r="O32" s="465">
        <v>45.544031571733953</v>
      </c>
      <c r="P32" s="465">
        <v>45.354646779258282</v>
      </c>
      <c r="Q32" s="465">
        <v>45.646314374569101</v>
      </c>
      <c r="R32" s="465">
        <v>46.037603076320536</v>
      </c>
    </row>
    <row r="33" spans="2:18" ht="13.5" customHeight="1">
      <c r="B33" s="464" t="s">
        <v>437</v>
      </c>
      <c r="C33" s="464" t="s">
        <v>437</v>
      </c>
      <c r="D33" s="465">
        <v>39.932109129557723</v>
      </c>
      <c r="E33" s="465">
        <v>38.200567986867675</v>
      </c>
      <c r="F33" s="465">
        <v>36.372760795095019</v>
      </c>
      <c r="G33" s="465">
        <v>34.452867932125045</v>
      </c>
      <c r="H33" s="465">
        <v>35.816152192245568</v>
      </c>
      <c r="I33" s="465">
        <v>35.707558927058905</v>
      </c>
      <c r="J33" s="465">
        <v>45.663136893229016</v>
      </c>
      <c r="K33" s="465">
        <v>43.611084447857337</v>
      </c>
      <c r="L33" s="465">
        <v>40.914887416094139</v>
      </c>
      <c r="M33" s="465">
        <v>40.422542938660811</v>
      </c>
      <c r="N33" s="465">
        <v>38.564237160637141</v>
      </c>
      <c r="O33" s="465">
        <v>37.359356625669591</v>
      </c>
      <c r="P33" s="465">
        <v>36.885733651683402</v>
      </c>
      <c r="Q33" s="465">
        <v>36.951162844380022</v>
      </c>
      <c r="R33" s="465">
        <v>36.911051944217945</v>
      </c>
    </row>
    <row r="34" spans="2:18" ht="13.5" customHeight="1">
      <c r="B34" s="464" t="s">
        <v>441</v>
      </c>
      <c r="C34" s="464" t="s">
        <v>448</v>
      </c>
      <c r="D34" s="465">
        <v>45.269819524688785</v>
      </c>
      <c r="E34" s="465">
        <v>44.040214026504046</v>
      </c>
      <c r="F34" s="465">
        <v>42.853048760688765</v>
      </c>
      <c r="G34" s="465">
        <v>41.666960194866597</v>
      </c>
      <c r="H34" s="465">
        <v>41.478732846934122</v>
      </c>
      <c r="I34" s="465">
        <v>41.348986230943787</v>
      </c>
      <c r="J34" s="465">
        <v>47.006139128469741</v>
      </c>
      <c r="K34" s="465">
        <v>45.81435758025868</v>
      </c>
      <c r="L34" s="465">
        <v>44.558999890116681</v>
      </c>
      <c r="M34" s="465">
        <v>44.973583483608067</v>
      </c>
      <c r="N34" s="465">
        <v>44.159370467933556</v>
      </c>
      <c r="O34" s="465">
        <v>44.02752613786496</v>
      </c>
      <c r="P34" s="465">
        <v>44.012092266630354</v>
      </c>
      <c r="Q34" s="465">
        <v>44.019559871228189</v>
      </c>
      <c r="R34" s="465">
        <v>43.996610918019229</v>
      </c>
    </row>
    <row r="35" spans="2:18" ht="13.5" customHeight="1">
      <c r="B35" s="464" t="s">
        <v>924</v>
      </c>
      <c r="C35" s="464" t="s">
        <v>924</v>
      </c>
      <c r="D35" s="465">
        <v>37.686167563259616</v>
      </c>
      <c r="E35" s="465">
        <v>37.25038249846007</v>
      </c>
      <c r="F35" s="465">
        <v>36.453889009695345</v>
      </c>
      <c r="G35" s="465">
        <v>35.63498964586411</v>
      </c>
      <c r="H35" s="465">
        <v>36.103012151744743</v>
      </c>
      <c r="I35" s="465">
        <v>38.833834193812677</v>
      </c>
      <c r="J35" s="465">
        <v>42.134786267666641</v>
      </c>
      <c r="K35" s="465">
        <v>41.895482505408111</v>
      </c>
      <c r="L35" s="465">
        <v>43.169667516308209</v>
      </c>
      <c r="M35" s="465">
        <v>42.796695145285923</v>
      </c>
      <c r="N35" s="465">
        <v>43.310018550735876</v>
      </c>
      <c r="O35" s="465">
        <v>42.461793267576162</v>
      </c>
      <c r="P35" s="465">
        <v>41.244022544254925</v>
      </c>
      <c r="Q35" s="465">
        <v>40.932044471244438</v>
      </c>
      <c r="R35" s="465">
        <v>40.407909672593043</v>
      </c>
    </row>
    <row r="36" spans="2:18" ht="13.5" customHeight="1">
      <c r="B36" s="464" t="s">
        <v>431</v>
      </c>
      <c r="C36" s="464" t="s">
        <v>431</v>
      </c>
      <c r="D36" s="465">
        <v>45.225359030696978</v>
      </c>
      <c r="E36" s="465">
        <v>48.203188120311175</v>
      </c>
      <c r="F36" s="465">
        <v>50.408451766427532</v>
      </c>
      <c r="G36" s="465">
        <v>49.226581300669885</v>
      </c>
      <c r="H36" s="465">
        <v>47.694096680600829</v>
      </c>
      <c r="I36" s="465">
        <v>50.202978312652768</v>
      </c>
      <c r="J36" s="465">
        <v>56.737381105421669</v>
      </c>
      <c r="K36" s="465">
        <v>47.569430889917207</v>
      </c>
      <c r="L36" s="465">
        <v>38.506836115100057</v>
      </c>
      <c r="M36" s="465">
        <v>40.444103130775915</v>
      </c>
      <c r="N36" s="465">
        <v>41.116187139795677</v>
      </c>
      <c r="O36" s="465">
        <v>42.086734590786413</v>
      </c>
      <c r="P36" s="465">
        <v>43.328295834646788</v>
      </c>
      <c r="Q36" s="465">
        <v>44.48669494003947</v>
      </c>
      <c r="R36" s="465">
        <v>45.65827585492039</v>
      </c>
    </row>
    <row r="37" spans="2:18" ht="13.5" customHeight="1">
      <c r="B37" s="464" t="s">
        <v>443</v>
      </c>
      <c r="C37" s="464" t="s">
        <v>443</v>
      </c>
      <c r="D37" s="465">
        <v>51.688104906164966</v>
      </c>
      <c r="E37" s="465">
        <v>48.200521163720857</v>
      </c>
      <c r="F37" s="465">
        <v>44.836712785364128</v>
      </c>
      <c r="G37" s="465">
        <v>45.368044742688205</v>
      </c>
      <c r="H37" s="465">
        <v>43.240400089285629</v>
      </c>
      <c r="I37" s="465">
        <v>42.450983255020297</v>
      </c>
      <c r="J37" s="465">
        <v>49.234745951628497</v>
      </c>
      <c r="K37" s="465">
        <v>47.372093651378336</v>
      </c>
      <c r="L37" s="465">
        <v>45.696050272622877</v>
      </c>
      <c r="M37" s="465">
        <v>44.878476481319829</v>
      </c>
      <c r="N37" s="465">
        <v>44.858551839582439</v>
      </c>
      <c r="O37" s="465">
        <v>44.745992114823771</v>
      </c>
      <c r="P37" s="465">
        <v>44.728655643871654</v>
      </c>
      <c r="Q37" s="465">
        <v>44.510946199954624</v>
      </c>
      <c r="R37" s="465">
        <v>44.59522509277118</v>
      </c>
    </row>
    <row r="38" spans="2:18">
      <c r="B38" s="464" t="s">
        <v>925</v>
      </c>
      <c r="C38" s="464" t="s">
        <v>925</v>
      </c>
      <c r="D38" s="465">
        <v>12.57483927138408</v>
      </c>
      <c r="E38" s="465">
        <v>14.437472448980786</v>
      </c>
      <c r="F38" s="465">
        <v>15.300816926082057</v>
      </c>
      <c r="G38" s="465">
        <v>13.620113672992208</v>
      </c>
      <c r="H38" s="465">
        <v>13.875275248552404</v>
      </c>
      <c r="I38" s="465">
        <v>14.016329988132467</v>
      </c>
      <c r="J38" s="465">
        <v>24.281628182378341</v>
      </c>
      <c r="K38" s="465">
        <v>16.203323424975562</v>
      </c>
      <c r="L38" s="465">
        <v>15.412126423180062</v>
      </c>
      <c r="M38" s="465">
        <v>14.129344728149881</v>
      </c>
      <c r="N38" s="465">
        <v>15.029344728149912</v>
      </c>
      <c r="O38" s="465">
        <v>15.229344728149863</v>
      </c>
      <c r="P38" s="465">
        <v>15.329344728149824</v>
      </c>
      <c r="Q38" s="465">
        <v>15.379344728149929</v>
      </c>
      <c r="R38" s="465">
        <v>15.279344728149782</v>
      </c>
    </row>
    <row r="39" spans="2:18">
      <c r="B39" s="464" t="s">
        <v>449</v>
      </c>
      <c r="C39" s="464" t="s">
        <v>449</v>
      </c>
      <c r="D39" s="465">
        <v>43.256913475957539</v>
      </c>
      <c r="E39" s="465">
        <v>45.563487507176198</v>
      </c>
      <c r="F39" s="465">
        <v>42.545816100638525</v>
      </c>
      <c r="G39" s="465">
        <v>39.494909052685784</v>
      </c>
      <c r="H39" s="465">
        <v>39.669562179345242</v>
      </c>
      <c r="I39" s="465">
        <v>40.529493611641151</v>
      </c>
      <c r="J39" s="465">
        <v>44.76516827831464</v>
      </c>
      <c r="K39" s="465">
        <v>46.34085441978015</v>
      </c>
      <c r="L39" s="465">
        <v>44.280478997447204</v>
      </c>
      <c r="M39" s="465">
        <v>47.794665838272778</v>
      </c>
      <c r="N39" s="465">
        <v>43.133949852428842</v>
      </c>
      <c r="O39" s="465">
        <v>42.835396689091844</v>
      </c>
      <c r="P39" s="465">
        <v>42.434094812240872</v>
      </c>
      <c r="Q39" s="465">
        <v>41.956760106867861</v>
      </c>
      <c r="R39" s="465">
        <v>41.860271516345932</v>
      </c>
    </row>
    <row r="40" spans="2:18">
      <c r="B40" s="464" t="s">
        <v>432</v>
      </c>
      <c r="C40" s="464" t="s">
        <v>432</v>
      </c>
      <c r="D40" s="465">
        <v>50.842318954567922</v>
      </c>
      <c r="E40" s="465">
        <v>48.710636381185253</v>
      </c>
      <c r="F40" s="465">
        <v>46.16288068916576</v>
      </c>
      <c r="G40" s="465">
        <v>44.070046708655632</v>
      </c>
      <c r="H40" s="465">
        <v>43.469285883996747</v>
      </c>
      <c r="I40" s="465">
        <v>43.178484006824199</v>
      </c>
      <c r="J40" s="465">
        <v>51.159808339731228</v>
      </c>
      <c r="K40" s="465">
        <v>49.293308892681402</v>
      </c>
      <c r="L40" s="465">
        <v>46.340237107426859</v>
      </c>
      <c r="M40" s="465">
        <v>46.630694653734672</v>
      </c>
      <c r="N40" s="465">
        <v>44.606868178241285</v>
      </c>
      <c r="O40" s="465">
        <v>44.176850212166158</v>
      </c>
      <c r="P40" s="465">
        <v>43.616104906931533</v>
      </c>
      <c r="Q40" s="465">
        <v>43.524346853899978</v>
      </c>
      <c r="R40" s="465">
        <v>43.635934829763805</v>
      </c>
    </row>
    <row r="41" spans="2:18">
      <c r="B41" s="464" t="s">
        <v>94</v>
      </c>
      <c r="C41" s="464" t="s">
        <v>94</v>
      </c>
      <c r="D41" s="465">
        <v>45.33307896123214</v>
      </c>
      <c r="E41" s="465">
        <v>44.04828159377864</v>
      </c>
      <c r="F41" s="465">
        <v>42.462267367778757</v>
      </c>
      <c r="G41" s="465">
        <v>41.313402586856512</v>
      </c>
      <c r="H41" s="465">
        <v>41.812537847040225</v>
      </c>
      <c r="I41" s="465">
        <v>42.283942439781839</v>
      </c>
      <c r="J41" s="465">
        <v>51.947827751435838</v>
      </c>
      <c r="K41" s="465">
        <v>50.616733590644017</v>
      </c>
      <c r="L41" s="465">
        <v>47.821762215186517</v>
      </c>
      <c r="M41" s="465">
        <v>48.719139472484578</v>
      </c>
      <c r="N41" s="465">
        <v>46.964461561430554</v>
      </c>
      <c r="O41" s="465">
        <v>46.46068692361186</v>
      </c>
      <c r="P41" s="465">
        <v>45.388836735111852</v>
      </c>
      <c r="Q41" s="465">
        <v>45.38883673511188</v>
      </c>
      <c r="R41" s="465">
        <v>45.388836735111894</v>
      </c>
    </row>
    <row r="42" spans="2:18">
      <c r="B42" s="464" t="s">
        <v>422</v>
      </c>
      <c r="C42" s="464" t="s">
        <v>422</v>
      </c>
      <c r="D42" s="465">
        <v>49.678415520207977</v>
      </c>
      <c r="E42" s="465">
        <v>48.390130666334933</v>
      </c>
      <c r="F42" s="465">
        <v>48.757415293346753</v>
      </c>
      <c r="G42" s="465">
        <v>48.240749269095936</v>
      </c>
      <c r="H42" s="465">
        <v>48.787607910517686</v>
      </c>
      <c r="I42" s="465">
        <v>48.105649158877135</v>
      </c>
      <c r="J42" s="465">
        <v>51.02307455059384</v>
      </c>
      <c r="K42" s="465">
        <v>48.372659299455883</v>
      </c>
      <c r="L42" s="465">
        <v>46.793426981246419</v>
      </c>
      <c r="M42" s="465">
        <v>46.825738838620893</v>
      </c>
      <c r="N42" s="465">
        <v>48.040078310602553</v>
      </c>
      <c r="O42" s="465">
        <v>48.019328557542188</v>
      </c>
      <c r="P42" s="465">
        <v>47.774420297446341</v>
      </c>
      <c r="Q42" s="465">
        <v>47.772192869558388</v>
      </c>
      <c r="R42" s="465">
        <v>47.794781513236387</v>
      </c>
    </row>
    <row r="43" spans="2:18">
      <c r="B43" s="464" t="s">
        <v>926</v>
      </c>
      <c r="C43" s="464" t="s">
        <v>926</v>
      </c>
      <c r="D43" s="465">
        <v>32.173887183404162</v>
      </c>
      <c r="E43" s="465">
        <v>32.47187842040789</v>
      </c>
      <c r="F43" s="465">
        <v>32.447816519911207</v>
      </c>
      <c r="G43" s="465">
        <v>32.450740345429388</v>
      </c>
      <c r="H43" s="465">
        <v>31.744840131844843</v>
      </c>
      <c r="I43" s="465">
        <v>31.968124799526215</v>
      </c>
      <c r="J43" s="465">
        <v>37.110316149144289</v>
      </c>
      <c r="K43" s="465">
        <v>35.223626634752911</v>
      </c>
      <c r="L43" s="465">
        <v>33.610409831102061</v>
      </c>
      <c r="M43" s="465">
        <v>32.987424781532219</v>
      </c>
      <c r="N43" s="465">
        <v>32.828587240451654</v>
      </c>
      <c r="O43" s="465">
        <v>32.694602475714319</v>
      </c>
      <c r="P43" s="465">
        <v>32.765663562362406</v>
      </c>
      <c r="Q43" s="465">
        <v>32.765663562362398</v>
      </c>
      <c r="R43" s="465">
        <v>32.765663562362462</v>
      </c>
    </row>
    <row r="44" spans="2:18">
      <c r="B44" s="464" t="s">
        <v>97</v>
      </c>
      <c r="C44" s="464" t="s">
        <v>97</v>
      </c>
      <c r="D44" s="465">
        <v>41.201464226146605</v>
      </c>
      <c r="E44" s="465">
        <v>40.289318364725005</v>
      </c>
      <c r="F44" s="465">
        <v>39.511548362283634</v>
      </c>
      <c r="G44" s="465">
        <v>39.009106919493838</v>
      </c>
      <c r="H44" s="465">
        <v>38.740990354174684</v>
      </c>
      <c r="I44" s="465">
        <v>38.537126487927701</v>
      </c>
      <c r="J44" s="465">
        <v>49.866941221865439</v>
      </c>
      <c r="K44" s="465">
        <v>46.269082733765416</v>
      </c>
      <c r="L44" s="465">
        <v>45.144161686457622</v>
      </c>
      <c r="M44" s="465">
        <v>44.981481428107301</v>
      </c>
      <c r="N44" s="465">
        <v>43.552280851180001</v>
      </c>
      <c r="O44" s="465">
        <v>43.106161724169596</v>
      </c>
      <c r="P44" s="465">
        <v>41.212346300942258</v>
      </c>
      <c r="Q44" s="465">
        <v>39.797509168595411</v>
      </c>
      <c r="R44" s="465">
        <v>38.365201316263445</v>
      </c>
    </row>
    <row r="45" spans="2:18" ht="13.5">
      <c r="B45" s="466" t="s">
        <v>949</v>
      </c>
      <c r="C45" s="466" t="s">
        <v>99</v>
      </c>
      <c r="D45" s="467">
        <v>35.428614568955325</v>
      </c>
      <c r="E45" s="467">
        <v>35.192031209448523</v>
      </c>
      <c r="F45" s="467">
        <v>35.552700975121823</v>
      </c>
      <c r="G45" s="467">
        <v>35.447779086990785</v>
      </c>
      <c r="H45" s="467">
        <v>35.551245977526506</v>
      </c>
      <c r="I45" s="467">
        <v>35.965104450457062</v>
      </c>
      <c r="J45" s="467">
        <v>44.818059443174292</v>
      </c>
      <c r="K45" s="467">
        <v>43.016752037040412</v>
      </c>
      <c r="L45" s="467">
        <v>38.50033217556301</v>
      </c>
      <c r="M45" s="467">
        <v>38.166056495494317</v>
      </c>
      <c r="N45" s="467">
        <v>38.395412683533443</v>
      </c>
      <c r="O45" s="467">
        <v>38.4220328723476</v>
      </c>
      <c r="P45" s="467">
        <v>38.544727909607545</v>
      </c>
      <c r="Q45" s="467">
        <v>38.561158766326244</v>
      </c>
      <c r="R45" s="467">
        <v>38.814664285641776</v>
      </c>
    </row>
    <row r="46" spans="2:18" ht="6" customHeight="1">
      <c r="B46" s="464"/>
      <c r="C46" s="464"/>
      <c r="D46" s="465"/>
      <c r="E46" s="465"/>
      <c r="F46" s="465"/>
      <c r="G46" s="465"/>
      <c r="H46" s="465"/>
      <c r="I46" s="465"/>
      <c r="J46" s="465"/>
      <c r="K46" s="465"/>
      <c r="L46" s="465"/>
      <c r="M46" s="465"/>
      <c r="N46" s="465"/>
      <c r="O46" s="465"/>
      <c r="P46" s="465"/>
      <c r="Q46" s="465"/>
      <c r="R46" s="465"/>
    </row>
    <row r="47" spans="2:18" ht="10.5" customHeight="1">
      <c r="B47" s="613" t="s">
        <v>927</v>
      </c>
      <c r="C47" s="613"/>
      <c r="D47" s="613"/>
      <c r="E47" s="613"/>
      <c r="F47" s="613"/>
      <c r="G47" s="613"/>
      <c r="H47" s="613"/>
      <c r="I47" s="613"/>
      <c r="J47" s="613"/>
      <c r="K47" s="613"/>
      <c r="L47" s="613"/>
      <c r="M47" s="613"/>
      <c r="N47" s="613"/>
      <c r="O47" s="613"/>
      <c r="P47" s="613"/>
      <c r="Q47" s="468"/>
      <c r="R47" s="468"/>
    </row>
    <row r="48" spans="2:18">
      <c r="B48" s="613" t="s">
        <v>948</v>
      </c>
      <c r="C48" s="613"/>
      <c r="D48" s="613"/>
      <c r="E48" s="613"/>
      <c r="F48" s="613"/>
      <c r="G48" s="613"/>
      <c r="H48" s="613"/>
      <c r="I48" s="613"/>
      <c r="J48" s="613"/>
      <c r="K48" s="613"/>
      <c r="L48" s="613"/>
      <c r="M48" s="613"/>
      <c r="N48" s="613"/>
      <c r="O48" s="613"/>
      <c r="P48" s="613"/>
      <c r="Q48" s="468"/>
      <c r="R48" s="468"/>
    </row>
    <row r="49" spans="2:18" ht="51" customHeight="1">
      <c r="B49" s="614" t="s">
        <v>950</v>
      </c>
      <c r="C49" s="614"/>
      <c r="D49" s="614"/>
      <c r="E49" s="614"/>
      <c r="F49" s="614"/>
      <c r="G49" s="614"/>
      <c r="H49" s="614"/>
      <c r="I49" s="614"/>
      <c r="J49" s="614"/>
      <c r="K49" s="614"/>
      <c r="L49" s="614"/>
      <c r="M49" s="614"/>
      <c r="N49" s="614"/>
      <c r="O49" s="614"/>
      <c r="P49" s="614"/>
      <c r="Q49" s="614"/>
      <c r="R49" s="614"/>
    </row>
    <row r="50" spans="2:18">
      <c r="B50" s="464"/>
      <c r="C50" s="464"/>
      <c r="D50" s="469"/>
      <c r="E50" s="469"/>
      <c r="F50" s="469"/>
      <c r="G50" s="469"/>
      <c r="H50" s="469"/>
      <c r="I50" s="469"/>
      <c r="J50" s="469"/>
      <c r="K50" s="469"/>
      <c r="L50" s="469"/>
      <c r="M50" s="469"/>
      <c r="N50" s="469"/>
      <c r="O50" s="469"/>
      <c r="P50" s="469"/>
      <c r="Q50" s="469"/>
      <c r="R50" s="469"/>
    </row>
    <row r="51" spans="2:18">
      <c r="B51" s="464"/>
      <c r="C51" s="464"/>
      <c r="D51" s="469"/>
      <c r="E51" s="469"/>
      <c r="F51" s="469"/>
      <c r="G51" s="469"/>
      <c r="H51" s="469"/>
      <c r="I51" s="469"/>
      <c r="J51" s="469"/>
      <c r="K51" s="469"/>
      <c r="L51" s="469"/>
      <c r="M51" s="469"/>
      <c r="N51" s="469"/>
      <c r="O51" s="469"/>
      <c r="P51" s="469"/>
      <c r="Q51" s="469"/>
      <c r="R51" s="469"/>
    </row>
    <row r="52" spans="2:18">
      <c r="B52" s="464"/>
      <c r="C52" s="464"/>
      <c r="D52" s="469"/>
      <c r="E52" s="469"/>
      <c r="F52" s="469"/>
      <c r="G52" s="469"/>
      <c r="H52" s="469"/>
      <c r="I52" s="469"/>
      <c r="J52" s="469"/>
      <c r="K52" s="469"/>
      <c r="L52" s="469"/>
      <c r="M52" s="469"/>
      <c r="N52" s="469"/>
      <c r="O52" s="469"/>
      <c r="P52" s="469"/>
      <c r="Q52" s="469"/>
      <c r="R52" s="469"/>
    </row>
    <row r="53" spans="2:18">
      <c r="B53" s="464"/>
      <c r="C53" s="464"/>
      <c r="D53" s="469"/>
      <c r="E53" s="469"/>
      <c r="F53" s="469"/>
      <c r="G53" s="469"/>
      <c r="H53" s="469"/>
      <c r="I53" s="469"/>
      <c r="J53" s="469"/>
      <c r="K53" s="469"/>
      <c r="L53" s="469"/>
      <c r="M53" s="469"/>
      <c r="N53" s="469"/>
      <c r="O53" s="469"/>
      <c r="P53" s="469"/>
      <c r="Q53" s="469"/>
      <c r="R53" s="469"/>
    </row>
    <row r="54" spans="2:18">
      <c r="B54" s="464"/>
      <c r="C54" s="464"/>
      <c r="D54" s="469"/>
      <c r="E54" s="469"/>
      <c r="F54" s="469"/>
      <c r="G54" s="469"/>
      <c r="H54" s="469"/>
      <c r="I54" s="469"/>
      <c r="J54" s="469"/>
      <c r="K54" s="469"/>
      <c r="L54" s="469"/>
      <c r="M54" s="469"/>
      <c r="N54" s="469"/>
      <c r="O54" s="469"/>
      <c r="P54" s="469"/>
      <c r="Q54" s="469"/>
      <c r="R54" s="469"/>
    </row>
    <row r="55" spans="2:18">
      <c r="B55" s="464"/>
      <c r="C55" s="464"/>
      <c r="D55" s="469"/>
      <c r="E55" s="469"/>
      <c r="F55" s="469"/>
      <c r="G55" s="469"/>
      <c r="H55" s="469"/>
      <c r="I55" s="469"/>
      <c r="J55" s="469"/>
      <c r="K55" s="469"/>
      <c r="L55" s="469"/>
      <c r="M55" s="469"/>
      <c r="N55" s="469"/>
      <c r="O55" s="469"/>
      <c r="P55" s="469"/>
      <c r="Q55" s="469"/>
      <c r="R55" s="469"/>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sheetData>
  <mergeCells count="4">
    <mergeCell ref="B2:N2"/>
    <mergeCell ref="B47:P47"/>
    <mergeCell ref="B48:P48"/>
    <mergeCell ref="B49:R49"/>
  </mergeCells>
  <conditionalFormatting sqref="B9:R45">
    <cfRule type="expression" dxfId="38" priority="1">
      <formula>MOD(ROW(),2)=0</formula>
    </cfRule>
  </conditionalFormatting>
  <pageMargins left="0.7" right="0.7" top="0.75" bottom="0.75" header="0.3" footer="0.3"/>
  <pageSetup scale="1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8B99D-8E12-4C6A-A551-24FA61859FC0}">
  <sheetPr codeName="Sheet10">
    <pageSetUpPr fitToPage="1"/>
  </sheetPr>
  <dimension ref="B2:S80"/>
  <sheetViews>
    <sheetView zoomScaleNormal="100"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9.140625" style="452" customWidth="1" collapsed="1"/>
    <col min="5" max="14" width="9.140625" style="452" customWidth="1"/>
    <col min="15" max="18" width="8.140625" style="452" customWidth="1"/>
    <col min="19" max="16384" width="9.140625" style="451"/>
  </cols>
  <sheetData>
    <row r="2" spans="2:18" ht="13.9" customHeight="1">
      <c r="B2" s="616" t="str">
        <f>"Table A7. Advanced Economies: General Government Gross Debt, "&amp;D4&amp;"–"&amp;RIGHT(R4,2)</f>
        <v>Table A7. Advanced Economies: General Government Gross Debt, 2014–28</v>
      </c>
      <c r="C2" s="616"/>
      <c r="D2" s="616"/>
      <c r="E2" s="616"/>
      <c r="F2" s="616"/>
      <c r="G2" s="616"/>
      <c r="H2" s="616"/>
      <c r="I2" s="616"/>
      <c r="J2" s="616"/>
      <c r="K2" s="616"/>
      <c r="L2" s="616"/>
      <c r="M2" s="616"/>
      <c r="N2" s="616"/>
      <c r="O2" s="485"/>
      <c r="P2" s="485"/>
      <c r="Q2" s="485"/>
      <c r="R2" s="485"/>
    </row>
    <row r="3" spans="2:18" ht="15.75">
      <c r="B3" s="486" t="s">
        <v>81</v>
      </c>
      <c r="C3" s="455"/>
      <c r="D3" s="455"/>
      <c r="E3" s="455"/>
      <c r="F3" s="455"/>
      <c r="G3" s="455"/>
      <c r="H3" s="455"/>
      <c r="I3" s="455"/>
      <c r="J3" s="455"/>
      <c r="K3" s="455"/>
      <c r="L3" s="455"/>
      <c r="M3" s="455"/>
      <c r="N3" s="455"/>
      <c r="O3" s="455"/>
      <c r="P3" s="455"/>
      <c r="Q3" s="455"/>
      <c r="R3" s="478"/>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ht="13.5">
      <c r="B5" s="459" t="s">
        <v>951</v>
      </c>
      <c r="C5" s="460" t="s">
        <v>84</v>
      </c>
      <c r="D5" s="461">
        <v>103.69321340549182</v>
      </c>
      <c r="E5" s="461">
        <v>103.3154949827105</v>
      </c>
      <c r="F5" s="461">
        <v>105.67451101005429</v>
      </c>
      <c r="G5" s="461">
        <v>103.40384366175694</v>
      </c>
      <c r="H5" s="461">
        <v>102.90152229250077</v>
      </c>
      <c r="I5" s="461">
        <v>104.030445038173</v>
      </c>
      <c r="J5" s="461">
        <v>122.94713033899377</v>
      </c>
      <c r="K5" s="461">
        <v>117.37741735240206</v>
      </c>
      <c r="L5" s="461">
        <v>112.4913043284719</v>
      </c>
      <c r="M5" s="461">
        <v>112.41934189921308</v>
      </c>
      <c r="N5" s="461">
        <v>113.63431464604203</v>
      </c>
      <c r="O5" s="461">
        <v>114.96522367838183</v>
      </c>
      <c r="P5" s="461">
        <v>115.87941566647859</v>
      </c>
      <c r="Q5" s="461">
        <v>116.71022652529713</v>
      </c>
      <c r="R5" s="461">
        <v>117.80160893180341</v>
      </c>
    </row>
    <row r="6" spans="2:18">
      <c r="B6" s="462" t="s">
        <v>88</v>
      </c>
      <c r="C6" s="460" t="s">
        <v>88</v>
      </c>
      <c r="D6" s="461">
        <v>92.79584811965006</v>
      </c>
      <c r="E6" s="461">
        <v>90.907095847450805</v>
      </c>
      <c r="F6" s="461">
        <v>90.059600677056054</v>
      </c>
      <c r="G6" s="461">
        <v>87.560570000318165</v>
      </c>
      <c r="H6" s="461">
        <v>85.580340077613045</v>
      </c>
      <c r="I6" s="461">
        <v>83.535810284043322</v>
      </c>
      <c r="J6" s="461">
        <v>96.616389809427076</v>
      </c>
      <c r="K6" s="461">
        <v>94.868497032544127</v>
      </c>
      <c r="L6" s="461">
        <v>90.886676520019932</v>
      </c>
      <c r="M6" s="461">
        <v>89.757611890860915</v>
      </c>
      <c r="N6" s="461">
        <v>88.983755505058909</v>
      </c>
      <c r="O6" s="461">
        <v>87.899881363355078</v>
      </c>
      <c r="P6" s="461">
        <v>86.91234246450054</v>
      </c>
      <c r="Q6" s="461">
        <v>86.172324319756825</v>
      </c>
      <c r="R6" s="461">
        <v>85.400897706831813</v>
      </c>
    </row>
    <row r="7" spans="2:18">
      <c r="B7" s="462" t="s">
        <v>914</v>
      </c>
      <c r="C7" s="462" t="s">
        <v>915</v>
      </c>
      <c r="D7" s="461">
        <v>117.3618531549732</v>
      </c>
      <c r="E7" s="461">
        <v>116.43223572022116</v>
      </c>
      <c r="F7" s="461">
        <v>119.47684626814656</v>
      </c>
      <c r="G7" s="461">
        <v>117.48094481099108</v>
      </c>
      <c r="H7" s="461">
        <v>117.24847519694345</v>
      </c>
      <c r="I7" s="461">
        <v>118.2657694754525</v>
      </c>
      <c r="J7" s="461">
        <v>140.40361084358764</v>
      </c>
      <c r="K7" s="461">
        <v>134.08520692918989</v>
      </c>
      <c r="L7" s="461">
        <v>128.35793850512337</v>
      </c>
      <c r="M7" s="461">
        <v>128.40831929448117</v>
      </c>
      <c r="N7" s="461">
        <v>130.29552549348324</v>
      </c>
      <c r="O7" s="461">
        <v>132.19750599710702</v>
      </c>
      <c r="P7" s="461">
        <v>133.4796944776254</v>
      </c>
      <c r="Q7" s="461">
        <v>134.68222248674942</v>
      </c>
      <c r="R7" s="461">
        <v>136.1907572684467</v>
      </c>
    </row>
    <row r="8" spans="2:18">
      <c r="B8" s="462" t="s">
        <v>916</v>
      </c>
      <c r="C8" s="463" t="s">
        <v>86</v>
      </c>
      <c r="D8" s="461">
        <v>111.32071172290944</v>
      </c>
      <c r="E8" s="461">
        <v>110.88406447004695</v>
      </c>
      <c r="F8" s="461">
        <v>113.84271037086445</v>
      </c>
      <c r="G8" s="461">
        <v>111.70253469862247</v>
      </c>
      <c r="H8" s="461">
        <v>111.55425309113731</v>
      </c>
      <c r="I8" s="461">
        <v>113.00905308880058</v>
      </c>
      <c r="J8" s="461">
        <v>134.09721806808219</v>
      </c>
      <c r="K8" s="461">
        <v>128.11984687383651</v>
      </c>
      <c r="L8" s="461">
        <v>123.12057699916407</v>
      </c>
      <c r="M8" s="461">
        <v>123.46956774310929</v>
      </c>
      <c r="N8" s="461">
        <v>125.39281220612443</v>
      </c>
      <c r="O8" s="461">
        <v>127.19719665189378</v>
      </c>
      <c r="P8" s="461">
        <v>128.41348729781129</v>
      </c>
      <c r="Q8" s="461">
        <v>129.52782349784803</v>
      </c>
      <c r="R8" s="461">
        <v>130.91843500037965</v>
      </c>
    </row>
    <row r="9" spans="2:18" ht="12" customHeight="1">
      <c r="B9" s="464" t="s">
        <v>917</v>
      </c>
      <c r="C9" s="464" t="s">
        <v>917</v>
      </c>
      <c r="D9" s="465">
        <v>42.039395945084443</v>
      </c>
      <c r="E9" s="465">
        <v>40.942370481724069</v>
      </c>
      <c r="F9" s="465">
        <v>39.772857546830934</v>
      </c>
      <c r="G9" s="465">
        <v>37.82721330240684</v>
      </c>
      <c r="H9" s="465">
        <v>36.345022694999031</v>
      </c>
      <c r="I9" s="465">
        <v>35.399266255561628</v>
      </c>
      <c r="J9" s="465">
        <v>46.32917043645228</v>
      </c>
      <c r="K9" s="465">
        <v>48.507220947496286</v>
      </c>
      <c r="L9" s="465">
        <v>38.787699044172058</v>
      </c>
      <c r="M9" s="465">
        <v>37.386833419467074</v>
      </c>
      <c r="N9" s="465">
        <v>35.609745722071793</v>
      </c>
      <c r="O9" s="465">
        <v>34.252424068613166</v>
      </c>
      <c r="P9" s="465">
        <v>33.063869422844903</v>
      </c>
      <c r="Q9" s="465">
        <v>31.934160556926454</v>
      </c>
      <c r="R9" s="465">
        <v>30.863788213640518</v>
      </c>
    </row>
    <row r="10" spans="2:18" ht="16.5" customHeight="1">
      <c r="B10" s="464" t="s">
        <v>952</v>
      </c>
      <c r="C10" s="464" t="s">
        <v>279</v>
      </c>
      <c r="D10" s="465">
        <v>34.045452066543881</v>
      </c>
      <c r="E10" s="465">
        <v>37.751735199837896</v>
      </c>
      <c r="F10" s="465">
        <v>40.593482030102415</v>
      </c>
      <c r="G10" s="465">
        <v>41.180763518748321</v>
      </c>
      <c r="H10" s="465">
        <v>41.762470110645388</v>
      </c>
      <c r="I10" s="465">
        <v>46.74403929392227</v>
      </c>
      <c r="J10" s="465">
        <v>57.1150149888066</v>
      </c>
      <c r="K10" s="465">
        <v>57.575565577418544</v>
      </c>
      <c r="L10" s="465">
        <v>55.701838961810978</v>
      </c>
      <c r="M10" s="465">
        <v>59.429150764449069</v>
      </c>
      <c r="N10" s="465">
        <v>62.441337646079411</v>
      </c>
      <c r="O10" s="465">
        <v>62.901781269159905</v>
      </c>
      <c r="P10" s="465">
        <v>62.827277498368439</v>
      </c>
      <c r="Q10" s="465">
        <v>62.624238599040147</v>
      </c>
      <c r="R10" s="465">
        <v>62.166574497972761</v>
      </c>
    </row>
    <row r="11" spans="2:18" ht="13.5" customHeight="1">
      <c r="B11" s="464" t="s">
        <v>439</v>
      </c>
      <c r="C11" s="464" t="s">
        <v>439</v>
      </c>
      <c r="D11" s="465">
        <v>83.7579398348052</v>
      </c>
      <c r="E11" s="465">
        <v>84.401089495926584</v>
      </c>
      <c r="F11" s="465">
        <v>82.548609091519211</v>
      </c>
      <c r="G11" s="465">
        <v>78.603450600468165</v>
      </c>
      <c r="H11" s="465">
        <v>74.07381052486943</v>
      </c>
      <c r="I11" s="465">
        <v>70.639706563644339</v>
      </c>
      <c r="J11" s="465">
        <v>82.930030114750977</v>
      </c>
      <c r="K11" s="465">
        <v>82.275804403658071</v>
      </c>
      <c r="L11" s="465">
        <v>77.786411310212628</v>
      </c>
      <c r="M11" s="465">
        <v>74.922765371652105</v>
      </c>
      <c r="N11" s="465">
        <v>72.609023945733099</v>
      </c>
      <c r="O11" s="465">
        <v>71.39212610262679</v>
      </c>
      <c r="P11" s="465">
        <v>70.120053339416259</v>
      </c>
      <c r="Q11" s="465">
        <v>68.724507558726884</v>
      </c>
      <c r="R11" s="465">
        <v>67.915340399020124</v>
      </c>
    </row>
    <row r="12" spans="2:18" ht="13.5" customHeight="1">
      <c r="B12" s="464" t="s">
        <v>444</v>
      </c>
      <c r="C12" s="464" t="s">
        <v>444</v>
      </c>
      <c r="D12" s="465">
        <v>107.04087304344374</v>
      </c>
      <c r="E12" s="465">
        <v>105.23035646577171</v>
      </c>
      <c r="F12" s="465">
        <v>105.00528965204552</v>
      </c>
      <c r="G12" s="465">
        <v>102.02022244691608</v>
      </c>
      <c r="H12" s="465">
        <v>99.854363972689981</v>
      </c>
      <c r="I12" s="465">
        <v>97.617231977770587</v>
      </c>
      <c r="J12" s="465">
        <v>112.03542209444441</v>
      </c>
      <c r="K12" s="465">
        <v>109.19269298762522</v>
      </c>
      <c r="L12" s="465">
        <v>105.27042154661123</v>
      </c>
      <c r="M12" s="465">
        <v>105.95407990149003</v>
      </c>
      <c r="N12" s="465">
        <v>108.2639167037206</v>
      </c>
      <c r="O12" s="465">
        <v>111.13720306876651</v>
      </c>
      <c r="P12" s="465">
        <v>114.04646956980228</v>
      </c>
      <c r="Q12" s="465">
        <v>116.91489684123346</v>
      </c>
      <c r="R12" s="465">
        <v>119.49620614038675</v>
      </c>
    </row>
    <row r="13" spans="2:18" ht="13.5" customHeight="1">
      <c r="B13" s="464" t="s">
        <v>140</v>
      </c>
      <c r="C13" s="464" t="s">
        <v>87</v>
      </c>
      <c r="D13" s="465">
        <v>85.540513850833477</v>
      </c>
      <c r="E13" s="465">
        <v>92.028851897644799</v>
      </c>
      <c r="F13" s="465">
        <v>92.396823555258251</v>
      </c>
      <c r="G13" s="465">
        <v>90.942245803943763</v>
      </c>
      <c r="H13" s="465">
        <v>90.776119069184929</v>
      </c>
      <c r="I13" s="465">
        <v>90.21016501387686</v>
      </c>
      <c r="J13" s="465">
        <v>118.87227160843578</v>
      </c>
      <c r="K13" s="465">
        <v>115.07408697259902</v>
      </c>
      <c r="L13" s="465">
        <v>106.59034676794781</v>
      </c>
      <c r="M13" s="465">
        <v>105.1062209802829</v>
      </c>
      <c r="N13" s="465">
        <v>102.20757340454207</v>
      </c>
      <c r="O13" s="465">
        <v>99.161501324003893</v>
      </c>
      <c r="P13" s="465">
        <v>96.16888282391389</v>
      </c>
      <c r="Q13" s="465">
        <v>93.603653643057214</v>
      </c>
      <c r="R13" s="465">
        <v>91.131267564941339</v>
      </c>
    </row>
    <row r="14" spans="2:18" ht="13.5" customHeight="1">
      <c r="B14" s="464" t="s">
        <v>430</v>
      </c>
      <c r="C14" s="464" t="s">
        <v>430</v>
      </c>
      <c r="D14" s="465">
        <v>82.430395082224663</v>
      </c>
      <c r="E14" s="465">
        <v>82.07513338581299</v>
      </c>
      <c r="F14" s="465">
        <v>79.389406520039714</v>
      </c>
      <c r="G14" s="465">
        <v>77.478694616099204</v>
      </c>
      <c r="H14" s="465">
        <v>74.452168219979981</v>
      </c>
      <c r="I14" s="465">
        <v>71.945970612393907</v>
      </c>
      <c r="J14" s="465">
        <v>86.778854730332398</v>
      </c>
      <c r="K14" s="465">
        <v>78.585761407366689</v>
      </c>
      <c r="L14" s="465">
        <v>67.53531786074673</v>
      </c>
      <c r="M14" s="465">
        <v>65.158163996395174</v>
      </c>
      <c r="N14" s="465">
        <v>64.249205033967087</v>
      </c>
      <c r="O14" s="465">
        <v>63.285225622653115</v>
      </c>
      <c r="P14" s="465">
        <v>62.23049671055211</v>
      </c>
      <c r="Q14" s="465">
        <v>61.388891918474343</v>
      </c>
      <c r="R14" s="465">
        <v>60.098988847883248</v>
      </c>
    </row>
    <row r="15" spans="2:18" ht="13.5" customHeight="1">
      <c r="B15" s="464" t="s">
        <v>421</v>
      </c>
      <c r="C15" s="464" t="s">
        <v>421</v>
      </c>
      <c r="D15" s="465">
        <v>108.75717848399572</v>
      </c>
      <c r="E15" s="465">
        <v>106.80008247928265</v>
      </c>
      <c r="F15" s="465">
        <v>102.60708124710733</v>
      </c>
      <c r="G15" s="465">
        <v>92.624173530324001</v>
      </c>
      <c r="H15" s="465">
        <v>98.067828983487971</v>
      </c>
      <c r="I15" s="465">
        <v>90.428501775536006</v>
      </c>
      <c r="J15" s="465">
        <v>113.50582324731673</v>
      </c>
      <c r="K15" s="465">
        <v>101.05001082485387</v>
      </c>
      <c r="L15" s="465">
        <v>86.501404946745296</v>
      </c>
      <c r="M15" s="465">
        <v>79.640000500558415</v>
      </c>
      <c r="N15" s="465">
        <v>71.932767142984204</v>
      </c>
      <c r="O15" s="465">
        <v>67.773971364487622</v>
      </c>
      <c r="P15" s="465">
        <v>62.625818274814861</v>
      </c>
      <c r="Q15" s="465">
        <v>59.353156825727027</v>
      </c>
      <c r="R15" s="465">
        <v>56.030329315777969</v>
      </c>
    </row>
    <row r="16" spans="2:18" ht="13.5" customHeight="1">
      <c r="B16" s="464" t="s">
        <v>919</v>
      </c>
      <c r="C16" s="464" t="s">
        <v>919</v>
      </c>
      <c r="D16" s="465">
        <v>41.854255383285711</v>
      </c>
      <c r="E16" s="465">
        <v>39.695069246232414</v>
      </c>
      <c r="F16" s="465">
        <v>36.580851734035903</v>
      </c>
      <c r="G16" s="465">
        <v>34.23527655372223</v>
      </c>
      <c r="H16" s="465">
        <v>32.058374043872938</v>
      </c>
      <c r="I16" s="465">
        <v>30.048581558691723</v>
      </c>
      <c r="J16" s="465">
        <v>37.655853403959377</v>
      </c>
      <c r="K16" s="465">
        <v>42.019167036220537</v>
      </c>
      <c r="L16" s="465">
        <v>42.348755123484587</v>
      </c>
      <c r="M16" s="465">
        <v>43.83938417476304</v>
      </c>
      <c r="N16" s="465">
        <v>43.283538992851014</v>
      </c>
      <c r="O16" s="465">
        <v>43.221276309755311</v>
      </c>
      <c r="P16" s="465">
        <v>43.946132079407782</v>
      </c>
      <c r="Q16" s="465">
        <v>44.910673562975461</v>
      </c>
      <c r="R16" s="465">
        <v>45.662748123832678</v>
      </c>
    </row>
    <row r="17" spans="2:18" ht="13.5" customHeight="1">
      <c r="B17" s="464" t="s">
        <v>451</v>
      </c>
      <c r="C17" s="464" t="s">
        <v>451</v>
      </c>
      <c r="D17" s="465">
        <v>44.270265222735105</v>
      </c>
      <c r="E17" s="465">
        <v>39.773693794208867</v>
      </c>
      <c r="F17" s="465">
        <v>37.193028400580886</v>
      </c>
      <c r="G17" s="465">
        <v>35.893358747993581</v>
      </c>
      <c r="H17" s="465">
        <v>33.999906803975477</v>
      </c>
      <c r="I17" s="465">
        <v>33.673394765367561</v>
      </c>
      <c r="J17" s="465">
        <v>42.208251574925129</v>
      </c>
      <c r="K17" s="465">
        <v>36.619695812236913</v>
      </c>
      <c r="L17" s="465">
        <v>29.658210539556407</v>
      </c>
      <c r="M17" s="465">
        <v>30.353026230532244</v>
      </c>
      <c r="N17" s="465">
        <v>30.325393514522105</v>
      </c>
      <c r="O17" s="465">
        <v>30.334211118964156</v>
      </c>
      <c r="P17" s="465">
        <v>30.700882434978727</v>
      </c>
      <c r="Q17" s="465">
        <v>31.128697834616943</v>
      </c>
      <c r="R17" s="465">
        <v>31.543413148697951</v>
      </c>
    </row>
    <row r="18" spans="2:18" ht="13.5" customHeight="1">
      <c r="B18" s="464" t="s">
        <v>423</v>
      </c>
      <c r="C18" s="464" t="s">
        <v>423</v>
      </c>
      <c r="D18" s="465">
        <v>10.623880512144963</v>
      </c>
      <c r="E18" s="465">
        <v>10.069132587898913</v>
      </c>
      <c r="F18" s="465">
        <v>9.9968272798752977</v>
      </c>
      <c r="G18" s="465">
        <v>9.1219843557192082</v>
      </c>
      <c r="H18" s="465">
        <v>8.203709909351975</v>
      </c>
      <c r="I18" s="465">
        <v>8.5482552864731627</v>
      </c>
      <c r="J18" s="465">
        <v>18.548711850509267</v>
      </c>
      <c r="K18" s="465">
        <v>17.59934514064593</v>
      </c>
      <c r="L18" s="465">
        <v>17.160184105492789</v>
      </c>
      <c r="M18" s="465">
        <v>20.969639743861759</v>
      </c>
      <c r="N18" s="465">
        <v>23.110249241774891</v>
      </c>
      <c r="O18" s="465">
        <v>24.089842898962868</v>
      </c>
      <c r="P18" s="465">
        <v>24.625089467663873</v>
      </c>
      <c r="Q18" s="465">
        <v>24.650564242167938</v>
      </c>
      <c r="R18" s="465">
        <v>24.433278450690413</v>
      </c>
    </row>
    <row r="19" spans="2:18" ht="13.5" customHeight="1">
      <c r="B19" s="464" t="s">
        <v>481</v>
      </c>
      <c r="C19" s="464" t="s">
        <v>481</v>
      </c>
      <c r="D19" s="465">
        <v>64.456657663872846</v>
      </c>
      <c r="E19" s="465">
        <v>68.331570833702955</v>
      </c>
      <c r="F19" s="465">
        <v>68.023193945707021</v>
      </c>
      <c r="G19" s="465">
        <v>66.043318857107565</v>
      </c>
      <c r="H19" s="465">
        <v>64.86267187243449</v>
      </c>
      <c r="I19" s="465">
        <v>64.892432608803119</v>
      </c>
      <c r="J19" s="465">
        <v>74.752640757703816</v>
      </c>
      <c r="K19" s="465">
        <v>72.595389756667359</v>
      </c>
      <c r="L19" s="465">
        <v>74.807149209948662</v>
      </c>
      <c r="M19" s="465">
        <v>74.456278935074835</v>
      </c>
      <c r="N19" s="465">
        <v>75.914178908772655</v>
      </c>
      <c r="O19" s="465">
        <v>77.792133888579158</v>
      </c>
      <c r="P19" s="465">
        <v>79.468256035793843</v>
      </c>
      <c r="Q19" s="465">
        <v>80.912718847881479</v>
      </c>
      <c r="R19" s="465">
        <v>82.112397308832456</v>
      </c>
    </row>
    <row r="20" spans="2:18" ht="13.5" customHeight="1">
      <c r="B20" s="464" t="s">
        <v>90</v>
      </c>
      <c r="C20" s="464" t="s">
        <v>90</v>
      </c>
      <c r="D20" s="465">
        <v>94.791756308247642</v>
      </c>
      <c r="E20" s="465">
        <v>95.431653105486092</v>
      </c>
      <c r="F20" s="465">
        <v>96.109042942462139</v>
      </c>
      <c r="G20" s="465">
        <v>98.130715005210604</v>
      </c>
      <c r="H20" s="465">
        <v>97.782513140490479</v>
      </c>
      <c r="I20" s="465">
        <v>97.426398948160823</v>
      </c>
      <c r="J20" s="465">
        <v>114.65552252454304</v>
      </c>
      <c r="K20" s="465">
        <v>112.57700125218952</v>
      </c>
      <c r="L20" s="465">
        <v>111.06284741012449</v>
      </c>
      <c r="M20" s="465">
        <v>111.43518608527447</v>
      </c>
      <c r="N20" s="465">
        <v>112.40860586256348</v>
      </c>
      <c r="O20" s="465">
        <v>112.77989292314363</v>
      </c>
      <c r="P20" s="465">
        <v>113.34582944981955</v>
      </c>
      <c r="Q20" s="465">
        <v>114.17425096030493</v>
      </c>
      <c r="R20" s="465">
        <v>114.99163454114681</v>
      </c>
    </row>
    <row r="21" spans="2:18" ht="13.5" customHeight="1">
      <c r="B21" s="464" t="s">
        <v>91</v>
      </c>
      <c r="C21" s="464" t="s">
        <v>91</v>
      </c>
      <c r="D21" s="465">
        <v>75.279101464424429</v>
      </c>
      <c r="E21" s="465">
        <v>71.946513426167641</v>
      </c>
      <c r="F21" s="465">
        <v>68.955320058441856</v>
      </c>
      <c r="G21" s="465">
        <v>64.635677469116899</v>
      </c>
      <c r="H21" s="465">
        <v>61.316346996686924</v>
      </c>
      <c r="I21" s="465">
        <v>58.925562727811908</v>
      </c>
      <c r="J21" s="465">
        <v>67.986010577225201</v>
      </c>
      <c r="K21" s="465">
        <v>68.622974942736164</v>
      </c>
      <c r="L21" s="465">
        <v>66.535291759868628</v>
      </c>
      <c r="M21" s="465">
        <v>67.163504061744689</v>
      </c>
      <c r="N21" s="465">
        <v>66.473474188662721</v>
      </c>
      <c r="O21" s="465">
        <v>64.402612502958064</v>
      </c>
      <c r="P21" s="465">
        <v>62.328404441729276</v>
      </c>
      <c r="Q21" s="465">
        <v>60.94122949723193</v>
      </c>
      <c r="R21" s="465">
        <v>59.621453617114383</v>
      </c>
    </row>
    <row r="22" spans="2:18" ht="13.5" customHeight="1">
      <c r="B22" s="464" t="s">
        <v>425</v>
      </c>
      <c r="C22" s="464" t="s">
        <v>425</v>
      </c>
      <c r="D22" s="465">
        <v>181.75302820416394</v>
      </c>
      <c r="E22" s="465">
        <v>179.08032618847304</v>
      </c>
      <c r="F22" s="465">
        <v>183.69565878102537</v>
      </c>
      <c r="G22" s="465">
        <v>183.20571099988075</v>
      </c>
      <c r="H22" s="465">
        <v>190.6740775208022</v>
      </c>
      <c r="I22" s="465">
        <v>185.50505582693305</v>
      </c>
      <c r="J22" s="465">
        <v>212.38811617828966</v>
      </c>
      <c r="K22" s="465">
        <v>200.7124579915602</v>
      </c>
      <c r="L22" s="465">
        <v>177.43427657062813</v>
      </c>
      <c r="M22" s="465">
        <v>166.01273445264488</v>
      </c>
      <c r="N22" s="465">
        <v>160.49807561369565</v>
      </c>
      <c r="O22" s="465">
        <v>155.80027688403979</v>
      </c>
      <c r="P22" s="465">
        <v>151.55239567571914</v>
      </c>
      <c r="Q22" s="465">
        <v>147.4590984993591</v>
      </c>
      <c r="R22" s="465">
        <v>143.64309557851888</v>
      </c>
    </row>
    <row r="23" spans="2:18" ht="13.5" customHeight="1">
      <c r="B23" s="464" t="s">
        <v>953</v>
      </c>
      <c r="C23" s="464" t="s">
        <v>920</v>
      </c>
      <c r="D23" s="465">
        <v>6.5321536781532588E-2</v>
      </c>
      <c r="E23" s="465">
        <v>6.2098951442268152E-2</v>
      </c>
      <c r="F23" s="465">
        <v>5.9251335826351219E-2</v>
      </c>
      <c r="G23" s="465">
        <v>5.5306056305812007E-2</v>
      </c>
      <c r="H23" s="465">
        <v>5.1876663361190477E-2</v>
      </c>
      <c r="I23" s="465">
        <v>0.26726354247147827</v>
      </c>
      <c r="J23" s="465">
        <v>0.99740452893753473</v>
      </c>
      <c r="K23" s="465">
        <v>1.9381599738867863</v>
      </c>
      <c r="L23" s="465">
        <v>4.2551787423537579</v>
      </c>
      <c r="M23" s="465">
        <v>6.1301461695063857</v>
      </c>
      <c r="N23" s="465">
        <v>7.1189703917732894</v>
      </c>
      <c r="O23" s="465">
        <v>7.7510283538532345</v>
      </c>
      <c r="P23" s="465">
        <v>8.8222599742583743</v>
      </c>
      <c r="Q23" s="465">
        <v>9.7817413025340443</v>
      </c>
      <c r="R23" s="465">
        <v>10.641867830790851</v>
      </c>
    </row>
    <row r="24" spans="2:18" ht="13.5" customHeight="1">
      <c r="B24" s="464" t="s">
        <v>921</v>
      </c>
      <c r="C24" s="464" t="s">
        <v>921</v>
      </c>
      <c r="D24" s="465">
        <v>115.29913341896891</v>
      </c>
      <c r="E24" s="465">
        <v>97.322974077048769</v>
      </c>
      <c r="F24" s="465">
        <v>82.47148948908783</v>
      </c>
      <c r="G24" s="465">
        <v>71.742256408975308</v>
      </c>
      <c r="H24" s="465">
        <v>63.246715254551958</v>
      </c>
      <c r="I24" s="465">
        <v>66.575637192539901</v>
      </c>
      <c r="J24" s="465">
        <v>77.78802948517432</v>
      </c>
      <c r="K24" s="465">
        <v>75.574909681373953</v>
      </c>
      <c r="L24" s="465">
        <v>68.725865650528249</v>
      </c>
      <c r="M24" s="465">
        <v>64.669449105332106</v>
      </c>
      <c r="N24" s="465">
        <v>61.451511439657189</v>
      </c>
      <c r="O24" s="465">
        <v>57.409889202772959</v>
      </c>
      <c r="P24" s="465">
        <v>52.890867609521585</v>
      </c>
      <c r="Q24" s="465">
        <v>48.854332701974776</v>
      </c>
      <c r="R24" s="465">
        <v>44.205341622190211</v>
      </c>
    </row>
    <row r="25" spans="2:18" ht="13.5" customHeight="1">
      <c r="B25" s="464" t="s">
        <v>429</v>
      </c>
      <c r="C25" s="464" t="s">
        <v>429</v>
      </c>
      <c r="D25" s="465">
        <v>104.25281287643848</v>
      </c>
      <c r="E25" s="465">
        <v>76.689089498661474</v>
      </c>
      <c r="F25" s="465">
        <v>74.252607270008809</v>
      </c>
      <c r="G25" s="465">
        <v>67.593018608759309</v>
      </c>
      <c r="H25" s="465">
        <v>63.021421726657913</v>
      </c>
      <c r="I25" s="465">
        <v>57.011732383902668</v>
      </c>
      <c r="J25" s="465">
        <v>58.401415099400275</v>
      </c>
      <c r="K25" s="465">
        <v>55.379407576656824</v>
      </c>
      <c r="L25" s="465">
        <v>45.189869785670822</v>
      </c>
      <c r="M25" s="465">
        <v>39.850561594035867</v>
      </c>
      <c r="N25" s="465">
        <v>36.058594010224887</v>
      </c>
      <c r="O25" s="465">
        <v>33.237126242523793</v>
      </c>
      <c r="P25" s="465">
        <v>30.653033268915426</v>
      </c>
      <c r="Q25" s="465">
        <v>27.723457197138952</v>
      </c>
      <c r="R25" s="465">
        <v>25.189046293505609</v>
      </c>
    </row>
    <row r="26" spans="2:18" ht="13.5" customHeight="1">
      <c r="B26" s="464" t="s">
        <v>923</v>
      </c>
      <c r="C26" s="464" t="s">
        <v>923</v>
      </c>
      <c r="D26" s="465">
        <v>64.850131151913928</v>
      </c>
      <c r="E26" s="465">
        <v>63.13344712762683</v>
      </c>
      <c r="F26" s="465">
        <v>61.440692352339177</v>
      </c>
      <c r="G26" s="465">
        <v>59.663984800604872</v>
      </c>
      <c r="H26" s="465">
        <v>59.86922315388977</v>
      </c>
      <c r="I26" s="465">
        <v>58.822319824733704</v>
      </c>
      <c r="J26" s="465">
        <v>70.654454586032259</v>
      </c>
      <c r="K26" s="465">
        <v>67.950581671670776</v>
      </c>
      <c r="L26" s="465">
        <v>60.930968419125101</v>
      </c>
      <c r="M26" s="465">
        <v>57.571132763138301</v>
      </c>
      <c r="N26" s="465">
        <v>55.343172985962227</v>
      </c>
      <c r="O26" s="465">
        <v>54.451029224957978</v>
      </c>
      <c r="P26" s="465">
        <v>54.050269600374598</v>
      </c>
      <c r="Q26" s="465">
        <v>53.721486606097159</v>
      </c>
      <c r="R26" s="465">
        <v>53.461733152913112</v>
      </c>
    </row>
    <row r="27" spans="2:18" ht="13.5" customHeight="1">
      <c r="B27" s="464" t="s">
        <v>92</v>
      </c>
      <c r="C27" s="464" t="s">
        <v>92</v>
      </c>
      <c r="D27" s="465">
        <v>135.36708110944659</v>
      </c>
      <c r="E27" s="465">
        <v>135.28113305001042</v>
      </c>
      <c r="F27" s="465">
        <v>134.78508798569629</v>
      </c>
      <c r="G27" s="465">
        <v>134.16263914457792</v>
      </c>
      <c r="H27" s="465">
        <v>134.44310149481396</v>
      </c>
      <c r="I27" s="465">
        <v>134.13551235411722</v>
      </c>
      <c r="J27" s="465">
        <v>154.88970632502921</v>
      </c>
      <c r="K27" s="465">
        <v>149.80891391952457</v>
      </c>
      <c r="L27" s="465">
        <v>144.69578917980905</v>
      </c>
      <c r="M27" s="465">
        <v>140.28695868244662</v>
      </c>
      <c r="N27" s="465">
        <v>140.03668895650063</v>
      </c>
      <c r="O27" s="465">
        <v>138.48807569248888</v>
      </c>
      <c r="P27" s="465">
        <v>136.88784745609621</v>
      </c>
      <c r="Q27" s="465">
        <v>134.79273430009124</v>
      </c>
      <c r="R27" s="465">
        <v>131.94936451083328</v>
      </c>
    </row>
    <row r="28" spans="2:18" ht="13.5" customHeight="1">
      <c r="B28" s="464" t="s">
        <v>96</v>
      </c>
      <c r="C28" s="464" t="s">
        <v>96</v>
      </c>
      <c r="D28" s="465">
        <v>233.28633485289734</v>
      </c>
      <c r="E28" s="465">
        <v>228.28513673154256</v>
      </c>
      <c r="F28" s="465">
        <v>232.42966203166037</v>
      </c>
      <c r="G28" s="465">
        <v>231.31933759196346</v>
      </c>
      <c r="H28" s="465">
        <v>232.38626513370369</v>
      </c>
      <c r="I28" s="465">
        <v>236.43070963481802</v>
      </c>
      <c r="J28" s="465">
        <v>258.70861300610073</v>
      </c>
      <c r="K28" s="465">
        <v>255.39402376463767</v>
      </c>
      <c r="L28" s="465">
        <v>261.2888098730852</v>
      </c>
      <c r="M28" s="465">
        <v>258.19015068024163</v>
      </c>
      <c r="N28" s="465">
        <v>256.33646186630529</v>
      </c>
      <c r="O28" s="465">
        <v>257.58670601385603</v>
      </c>
      <c r="P28" s="465">
        <v>259.24420893625404</v>
      </c>
      <c r="Q28" s="465">
        <v>261.47747959883952</v>
      </c>
      <c r="R28" s="465">
        <v>263.9997867934261</v>
      </c>
    </row>
    <row r="29" spans="2:18" ht="13.5" customHeight="1">
      <c r="B29" s="464" t="s">
        <v>283</v>
      </c>
      <c r="C29" s="464" t="s">
        <v>283</v>
      </c>
      <c r="D29" s="465">
        <v>39.707497909373998</v>
      </c>
      <c r="E29" s="465">
        <v>40.783575401122931</v>
      </c>
      <c r="F29" s="465">
        <v>41.217164998946451</v>
      </c>
      <c r="G29" s="465">
        <v>40.050156392810102</v>
      </c>
      <c r="H29" s="465">
        <v>40.022284357355744</v>
      </c>
      <c r="I29" s="465">
        <v>42.125268920764327</v>
      </c>
      <c r="J29" s="465">
        <v>48.698265628608503</v>
      </c>
      <c r="K29" s="465">
        <v>51.330841287509813</v>
      </c>
      <c r="L29" s="465">
        <v>54.330959253651514</v>
      </c>
      <c r="M29" s="465">
        <v>55.282309168916846</v>
      </c>
      <c r="N29" s="465">
        <v>55.878003576523717</v>
      </c>
      <c r="O29" s="465">
        <v>56.56710714295977</v>
      </c>
      <c r="P29" s="465">
        <v>57.216879184871118</v>
      </c>
      <c r="Q29" s="465">
        <v>57.773274688218322</v>
      </c>
      <c r="R29" s="465">
        <v>58.204611825086836</v>
      </c>
    </row>
    <row r="30" spans="2:18" ht="13.5" customHeight="1">
      <c r="B30" s="464" t="s">
        <v>442</v>
      </c>
      <c r="C30" s="464" t="s">
        <v>442</v>
      </c>
      <c r="D30" s="465">
        <v>41.604514302211051</v>
      </c>
      <c r="E30" s="465">
        <v>37.05499416853408</v>
      </c>
      <c r="F30" s="465">
        <v>40.380233857810602</v>
      </c>
      <c r="G30" s="465">
        <v>38.980622968551238</v>
      </c>
      <c r="H30" s="465">
        <v>37.098732505804868</v>
      </c>
      <c r="I30" s="465">
        <v>36.659376742881008</v>
      </c>
      <c r="J30" s="465">
        <v>42.087149974311608</v>
      </c>
      <c r="K30" s="465">
        <v>44.715180249452573</v>
      </c>
      <c r="L30" s="465">
        <v>41.6092532879155</v>
      </c>
      <c r="M30" s="465">
        <v>41.971542181683738</v>
      </c>
      <c r="N30" s="465">
        <v>41.014460949352795</v>
      </c>
      <c r="O30" s="465">
        <v>41.158837116591393</v>
      </c>
      <c r="P30" s="465">
        <v>39.883266131717974</v>
      </c>
      <c r="Q30" s="465">
        <v>37.795543998272002</v>
      </c>
      <c r="R30" s="465">
        <v>37.273885787994701</v>
      </c>
    </row>
    <row r="31" spans="2:18" ht="13.5" customHeight="1">
      <c r="B31" s="464" t="s">
        <v>433</v>
      </c>
      <c r="C31" s="464" t="s">
        <v>433</v>
      </c>
      <c r="D31" s="465">
        <v>40.5261704750788</v>
      </c>
      <c r="E31" s="465">
        <v>42.681218989067013</v>
      </c>
      <c r="F31" s="465">
        <v>39.895705568798064</v>
      </c>
      <c r="G31" s="465">
        <v>39.338352694062628</v>
      </c>
      <c r="H31" s="465">
        <v>33.66282033254825</v>
      </c>
      <c r="I31" s="465">
        <v>35.829697269578517</v>
      </c>
      <c r="J31" s="465">
        <v>46.334642702860187</v>
      </c>
      <c r="K31" s="465">
        <v>44.026273162569645</v>
      </c>
      <c r="L31" s="465">
        <v>39.560997026222047</v>
      </c>
      <c r="M31" s="465">
        <v>40.164829638106902</v>
      </c>
      <c r="N31" s="465">
        <v>39.09834794766779</v>
      </c>
      <c r="O31" s="465">
        <v>37.959033563638606</v>
      </c>
      <c r="P31" s="465">
        <v>36.814405628966178</v>
      </c>
      <c r="Q31" s="465">
        <v>35.756909092897736</v>
      </c>
      <c r="R31" s="465">
        <v>34.982962979541995</v>
      </c>
    </row>
    <row r="32" spans="2:18" ht="13.5" customHeight="1">
      <c r="B32" s="464" t="s">
        <v>440</v>
      </c>
      <c r="C32" s="464" t="s">
        <v>440</v>
      </c>
      <c r="D32" s="465">
        <v>21.852125743126741</v>
      </c>
      <c r="E32" s="465">
        <v>21.117091226100062</v>
      </c>
      <c r="F32" s="465">
        <v>19.590271847423853</v>
      </c>
      <c r="G32" s="465">
        <v>21.7957049139745</v>
      </c>
      <c r="H32" s="465">
        <v>20.908265304085745</v>
      </c>
      <c r="I32" s="465">
        <v>22.38587738101155</v>
      </c>
      <c r="J32" s="465">
        <v>24.510928375493393</v>
      </c>
      <c r="K32" s="465">
        <v>24.529082232519539</v>
      </c>
      <c r="L32" s="465">
        <v>24.305104335022818</v>
      </c>
      <c r="M32" s="465">
        <v>27.443935738620258</v>
      </c>
      <c r="N32" s="465">
        <v>29.156055009385746</v>
      </c>
      <c r="O32" s="465">
        <v>29.65646191598254</v>
      </c>
      <c r="P32" s="465">
        <v>29.678554167984434</v>
      </c>
      <c r="Q32" s="465">
        <v>29.541087744160944</v>
      </c>
      <c r="R32" s="465">
        <v>29.34592639711402</v>
      </c>
    </row>
    <row r="33" spans="2:18" ht="13.5" customHeight="1">
      <c r="B33" s="464" t="s">
        <v>437</v>
      </c>
      <c r="C33" s="464" t="s">
        <v>437</v>
      </c>
      <c r="D33" s="465">
        <v>62.08703062916755</v>
      </c>
      <c r="E33" s="465">
        <v>56.249506087502787</v>
      </c>
      <c r="F33" s="465">
        <v>54.735118530935488</v>
      </c>
      <c r="G33" s="465">
        <v>47.797542297859266</v>
      </c>
      <c r="H33" s="465">
        <v>43.70950843342392</v>
      </c>
      <c r="I33" s="465">
        <v>40.321853003506469</v>
      </c>
      <c r="J33" s="465">
        <v>52.946222000185386</v>
      </c>
      <c r="K33" s="465">
        <v>55.111612380281997</v>
      </c>
      <c r="L33" s="465">
        <v>55.829204975920966</v>
      </c>
      <c r="M33" s="465">
        <v>56.911314926492373</v>
      </c>
      <c r="N33" s="465">
        <v>57.067409515687906</v>
      </c>
      <c r="O33" s="465">
        <v>56.640234973783855</v>
      </c>
      <c r="P33" s="465">
        <v>56.142927974874681</v>
      </c>
      <c r="Q33" s="465">
        <v>55.923487025241315</v>
      </c>
      <c r="R33" s="465">
        <v>55.459263778761944</v>
      </c>
    </row>
    <row r="34" spans="2:18" ht="13.5" customHeight="1">
      <c r="B34" s="464" t="s">
        <v>441</v>
      </c>
      <c r="C34" s="464" t="s">
        <v>448</v>
      </c>
      <c r="D34" s="465">
        <v>67.872714277205318</v>
      </c>
      <c r="E34" s="465">
        <v>64.646931629778209</v>
      </c>
      <c r="F34" s="465">
        <v>61.900197222508488</v>
      </c>
      <c r="G34" s="465">
        <v>56.950115559794398</v>
      </c>
      <c r="H34" s="465">
        <v>52.434989218165164</v>
      </c>
      <c r="I34" s="465">
        <v>48.549237136479086</v>
      </c>
      <c r="J34" s="465">
        <v>54.669503973484993</v>
      </c>
      <c r="K34" s="465">
        <v>52.434501539079534</v>
      </c>
      <c r="L34" s="465">
        <v>48.506731892864849</v>
      </c>
      <c r="M34" s="465">
        <v>48.176815195924895</v>
      </c>
      <c r="N34" s="465">
        <v>47.326996988254677</v>
      </c>
      <c r="O34" s="465">
        <v>46.957690263929912</v>
      </c>
      <c r="P34" s="465">
        <v>46.52962671817145</v>
      </c>
      <c r="Q34" s="465">
        <v>46.220796267062013</v>
      </c>
      <c r="R34" s="465">
        <v>46.263866365641221</v>
      </c>
    </row>
    <row r="35" spans="2:18" ht="13.5" customHeight="1">
      <c r="B35" s="464" t="s">
        <v>924</v>
      </c>
      <c r="C35" s="464" t="s">
        <v>924</v>
      </c>
      <c r="D35" s="465">
        <v>34.175964667596467</v>
      </c>
      <c r="E35" s="465">
        <v>34.214040177240847</v>
      </c>
      <c r="F35" s="465">
        <v>33.374136754572106</v>
      </c>
      <c r="G35" s="465">
        <v>31.138012075751071</v>
      </c>
      <c r="H35" s="465">
        <v>28.097108175651552</v>
      </c>
      <c r="I35" s="465">
        <v>31.839559951592172</v>
      </c>
      <c r="J35" s="465">
        <v>43.336334496670872</v>
      </c>
      <c r="K35" s="465">
        <v>50.097413194718655</v>
      </c>
      <c r="L35" s="465">
        <v>52.792013904330517</v>
      </c>
      <c r="M35" s="465">
        <v>49.915465834017354</v>
      </c>
      <c r="N35" s="465">
        <v>45.487208693810835</v>
      </c>
      <c r="O35" s="465">
        <v>41.080883625340235</v>
      </c>
      <c r="P35" s="465">
        <v>38.821312796447621</v>
      </c>
      <c r="Q35" s="465">
        <v>36.524004302206045</v>
      </c>
      <c r="R35" s="465">
        <v>34.867375526807329</v>
      </c>
    </row>
    <row r="36" spans="2:18" ht="13.5" customHeight="1">
      <c r="B36" s="464" t="s">
        <v>431</v>
      </c>
      <c r="C36" s="464" t="s">
        <v>431</v>
      </c>
      <c r="D36" s="465">
        <v>29.660978620566851</v>
      </c>
      <c r="E36" s="465">
        <v>34.334254578725911</v>
      </c>
      <c r="F36" s="465">
        <v>37.906987565929143</v>
      </c>
      <c r="G36" s="465">
        <v>38.3138289724995</v>
      </c>
      <c r="H36" s="465">
        <v>39.406293328740496</v>
      </c>
      <c r="I36" s="465">
        <v>40.55646250030582</v>
      </c>
      <c r="J36" s="465">
        <v>46.10909773730166</v>
      </c>
      <c r="K36" s="465">
        <v>42.703272682893356</v>
      </c>
      <c r="L36" s="465">
        <v>39.60327268289344</v>
      </c>
      <c r="M36" s="465">
        <v>38.803272682893386</v>
      </c>
      <c r="N36" s="465">
        <v>38.503272682893389</v>
      </c>
      <c r="O36" s="465">
        <v>38.003272682893375</v>
      </c>
      <c r="P36" s="465">
        <v>37.50327268289341</v>
      </c>
      <c r="Q36" s="465">
        <v>37.003272682893368</v>
      </c>
      <c r="R36" s="465">
        <v>37.003272682893282</v>
      </c>
    </row>
    <row r="37" spans="2:18" ht="13.5" customHeight="1">
      <c r="B37" s="464" t="s">
        <v>443</v>
      </c>
      <c r="C37" s="464" t="s">
        <v>443</v>
      </c>
      <c r="D37" s="465">
        <v>132.94069990991235</v>
      </c>
      <c r="E37" s="465">
        <v>131.17912318071239</v>
      </c>
      <c r="F37" s="465">
        <v>131.50574455010408</v>
      </c>
      <c r="G37" s="465">
        <v>126.1434846445801</v>
      </c>
      <c r="H37" s="465">
        <v>121.48133238329267</v>
      </c>
      <c r="I37" s="465">
        <v>116.60779000507056</v>
      </c>
      <c r="J37" s="465">
        <v>134.89740867319739</v>
      </c>
      <c r="K37" s="465">
        <v>125.38335698196572</v>
      </c>
      <c r="L37" s="465">
        <v>116.04826498153113</v>
      </c>
      <c r="M37" s="465">
        <v>112.36346696225328</v>
      </c>
      <c r="N37" s="465">
        <v>108.62828527226745</v>
      </c>
      <c r="O37" s="465">
        <v>105.22947156313376</v>
      </c>
      <c r="P37" s="465">
        <v>102.21844319023792</v>
      </c>
      <c r="Q37" s="465">
        <v>99.314912212171649</v>
      </c>
      <c r="R37" s="465">
        <v>96.465965340476444</v>
      </c>
    </row>
    <row r="38" spans="2:18">
      <c r="B38" s="464" t="s">
        <v>925</v>
      </c>
      <c r="C38" s="464" t="s">
        <v>925</v>
      </c>
      <c r="D38" s="465">
        <v>97.748777934469203</v>
      </c>
      <c r="E38" s="465">
        <v>102.23805643331593</v>
      </c>
      <c r="F38" s="465">
        <v>106.47069174129054</v>
      </c>
      <c r="G38" s="465">
        <v>107.76859163092907</v>
      </c>
      <c r="H38" s="465">
        <v>109.36773098017909</v>
      </c>
      <c r="I38" s="465">
        <v>127.80052572357097</v>
      </c>
      <c r="J38" s="465">
        <v>149.03425601198563</v>
      </c>
      <c r="K38" s="465">
        <v>147.67432234678529</v>
      </c>
      <c r="L38" s="465">
        <v>134.15869797741487</v>
      </c>
      <c r="M38" s="465">
        <v>134.54194001488645</v>
      </c>
      <c r="N38" s="465">
        <v>134.90386044720555</v>
      </c>
      <c r="O38" s="465">
        <v>135.38921181137471</v>
      </c>
      <c r="P38" s="465">
        <v>135.87652361224818</v>
      </c>
      <c r="Q38" s="465">
        <v>136.359505031818</v>
      </c>
      <c r="R38" s="465">
        <v>136.83096874615953</v>
      </c>
    </row>
    <row r="39" spans="2:18">
      <c r="B39" s="464" t="s">
        <v>449</v>
      </c>
      <c r="C39" s="464" t="s">
        <v>449</v>
      </c>
      <c r="D39" s="465">
        <v>53.492590482551783</v>
      </c>
      <c r="E39" s="465">
        <v>51.685345580710383</v>
      </c>
      <c r="F39" s="465">
        <v>52.27496182247976</v>
      </c>
      <c r="G39" s="465">
        <v>51.4614993049478</v>
      </c>
      <c r="H39" s="465">
        <v>49.40800915051733</v>
      </c>
      <c r="I39" s="465">
        <v>47.974637167054581</v>
      </c>
      <c r="J39" s="465">
        <v>58.902387979493376</v>
      </c>
      <c r="K39" s="465">
        <v>62.185885529267281</v>
      </c>
      <c r="L39" s="465">
        <v>58.820593171033927</v>
      </c>
      <c r="M39" s="465">
        <v>57.428476981932775</v>
      </c>
      <c r="N39" s="465">
        <v>57.375590821290132</v>
      </c>
      <c r="O39" s="465">
        <v>58.186807219355231</v>
      </c>
      <c r="P39" s="465">
        <v>59.571154084813259</v>
      </c>
      <c r="Q39" s="465">
        <v>60.892796778643877</v>
      </c>
      <c r="R39" s="465">
        <v>62.030535437223179</v>
      </c>
    </row>
    <row r="40" spans="2:18">
      <c r="B40" s="464" t="s">
        <v>432</v>
      </c>
      <c r="C40" s="464" t="s">
        <v>432</v>
      </c>
      <c r="D40" s="465">
        <v>80.299036514659534</v>
      </c>
      <c r="E40" s="465">
        <v>82.587735666945491</v>
      </c>
      <c r="F40" s="465">
        <v>78.520192566840819</v>
      </c>
      <c r="G40" s="465">
        <v>74.15028143766871</v>
      </c>
      <c r="H40" s="465">
        <v>70.286836558310057</v>
      </c>
      <c r="I40" s="465">
        <v>65.421196212077504</v>
      </c>
      <c r="J40" s="465">
        <v>79.588138840978544</v>
      </c>
      <c r="K40" s="465">
        <v>74.466031133100046</v>
      </c>
      <c r="L40" s="465">
        <v>70.245249399870829</v>
      </c>
      <c r="M40" s="465">
        <v>67.729498065116758</v>
      </c>
      <c r="N40" s="465">
        <v>65.920159611087129</v>
      </c>
      <c r="O40" s="465">
        <v>64.089520520486829</v>
      </c>
      <c r="P40" s="465">
        <v>62.255628199251603</v>
      </c>
      <c r="Q40" s="465">
        <v>60.576640820761327</v>
      </c>
      <c r="R40" s="465">
        <v>59.012608440732251</v>
      </c>
    </row>
    <row r="41" spans="2:18">
      <c r="B41" s="464" t="s">
        <v>94</v>
      </c>
      <c r="C41" s="464" t="s">
        <v>94</v>
      </c>
      <c r="D41" s="465">
        <v>105.058820094363</v>
      </c>
      <c r="E41" s="465">
        <v>103.29922010366461</v>
      </c>
      <c r="F41" s="465">
        <v>102.74853080526194</v>
      </c>
      <c r="G41" s="465">
        <v>101.79957074973419</v>
      </c>
      <c r="H41" s="465">
        <v>100.41548129805899</v>
      </c>
      <c r="I41" s="465">
        <v>98.221004116376136</v>
      </c>
      <c r="J41" s="465">
        <v>120.37556585977143</v>
      </c>
      <c r="K41" s="465">
        <v>118.38596808861475</v>
      </c>
      <c r="L41" s="465">
        <v>111.97750538855101</v>
      </c>
      <c r="M41" s="465">
        <v>110.45903332151778</v>
      </c>
      <c r="N41" s="465">
        <v>108.33537512195728</v>
      </c>
      <c r="O41" s="465">
        <v>107.92567195806157</v>
      </c>
      <c r="P41" s="465">
        <v>108.25585522043862</v>
      </c>
      <c r="Q41" s="465">
        <v>108.73650675743424</v>
      </c>
      <c r="R41" s="465">
        <v>109.31940044871322</v>
      </c>
    </row>
    <row r="42" spans="2:18">
      <c r="B42" s="464" t="s">
        <v>422</v>
      </c>
      <c r="C42" s="464" t="s">
        <v>422</v>
      </c>
      <c r="D42" s="465">
        <v>44.872155141970531</v>
      </c>
      <c r="E42" s="465">
        <v>43.738695496036826</v>
      </c>
      <c r="F42" s="465">
        <v>42.255445092005019</v>
      </c>
      <c r="G42" s="465">
        <v>40.730415425070284</v>
      </c>
      <c r="H42" s="465">
        <v>39.192586385369943</v>
      </c>
      <c r="I42" s="465">
        <v>35.193823534013156</v>
      </c>
      <c r="J42" s="465">
        <v>39.51100497803133</v>
      </c>
      <c r="K42" s="465">
        <v>36.263905061112702</v>
      </c>
      <c r="L42" s="465">
        <v>31.685814088244573</v>
      </c>
      <c r="M42" s="465">
        <v>32.323280590936704</v>
      </c>
      <c r="N42" s="465">
        <v>32.87894136889836</v>
      </c>
      <c r="O42" s="465">
        <v>32.521786788419604</v>
      </c>
      <c r="P42" s="465">
        <v>31.873548160927957</v>
      </c>
      <c r="Q42" s="465">
        <v>31.024431008837528</v>
      </c>
      <c r="R42" s="465">
        <v>29.958318507529192</v>
      </c>
    </row>
    <row r="43" spans="2:18">
      <c r="B43" s="464" t="s">
        <v>926</v>
      </c>
      <c r="C43" s="464" t="s">
        <v>926</v>
      </c>
      <c r="D43" s="465">
        <v>42.067435166594912</v>
      </c>
      <c r="E43" s="465">
        <v>42.15226292208115</v>
      </c>
      <c r="F43" s="465">
        <v>40.946754925317485</v>
      </c>
      <c r="G43" s="465">
        <v>41.768200264624795</v>
      </c>
      <c r="H43" s="465">
        <v>39.791316981999678</v>
      </c>
      <c r="I43" s="465">
        <v>39.63973078276463</v>
      </c>
      <c r="J43" s="465">
        <v>43.332659367367391</v>
      </c>
      <c r="K43" s="465">
        <v>41.482983492135816</v>
      </c>
      <c r="L43" s="465">
        <v>39.122409129838722</v>
      </c>
      <c r="M43" s="465">
        <v>37.500606610734835</v>
      </c>
      <c r="N43" s="465">
        <v>36.112861012781273</v>
      </c>
      <c r="O43" s="465">
        <v>35.007865850776433</v>
      </c>
      <c r="P43" s="465">
        <v>33.806957968527456</v>
      </c>
      <c r="Q43" s="465">
        <v>32.831357220473016</v>
      </c>
      <c r="R43" s="465">
        <v>31.696440213962028</v>
      </c>
    </row>
    <row r="44" spans="2:18">
      <c r="B44" s="464" t="s">
        <v>97</v>
      </c>
      <c r="C44" s="464" t="s">
        <v>97</v>
      </c>
      <c r="D44" s="465">
        <v>86.069076731226247</v>
      </c>
      <c r="E44" s="465">
        <v>86.658289076823607</v>
      </c>
      <c r="F44" s="465">
        <v>86.569230407594844</v>
      </c>
      <c r="G44" s="465">
        <v>85.6415898644034</v>
      </c>
      <c r="H44" s="465">
        <v>85.154235866154323</v>
      </c>
      <c r="I44" s="465">
        <v>84.484762869759294</v>
      </c>
      <c r="J44" s="465">
        <v>105.59052026124458</v>
      </c>
      <c r="K44" s="465">
        <v>108.08415659379953</v>
      </c>
      <c r="L44" s="465">
        <v>102.63585903621491</v>
      </c>
      <c r="M44" s="465">
        <v>106.25373275500594</v>
      </c>
      <c r="N44" s="465">
        <v>109.72508890333343</v>
      </c>
      <c r="O44" s="465">
        <v>112.80668475013023</v>
      </c>
      <c r="P44" s="465">
        <v>112.7060768463885</v>
      </c>
      <c r="Q44" s="465">
        <v>113.02871348900014</v>
      </c>
      <c r="R44" s="465">
        <v>113.11045019413743</v>
      </c>
    </row>
    <row r="45" spans="2:18" ht="13.5">
      <c r="B45" s="466" t="s">
        <v>98</v>
      </c>
      <c r="C45" s="466" t="s">
        <v>99</v>
      </c>
      <c r="D45" s="467">
        <v>104.54146065607164</v>
      </c>
      <c r="E45" s="467">
        <v>105.12797823797342</v>
      </c>
      <c r="F45" s="467">
        <v>107.15632973345957</v>
      </c>
      <c r="G45" s="467">
        <v>106.20730232808877</v>
      </c>
      <c r="H45" s="467">
        <v>107.43671369242065</v>
      </c>
      <c r="I45" s="467">
        <v>108.744672243282</v>
      </c>
      <c r="J45" s="467">
        <v>133.48375746956972</v>
      </c>
      <c r="K45" s="467">
        <v>126.42636577407535</v>
      </c>
      <c r="L45" s="467">
        <v>121.6828793463313</v>
      </c>
      <c r="M45" s="467">
        <v>122.23146751005869</v>
      </c>
      <c r="N45" s="467">
        <v>125.83630477525716</v>
      </c>
      <c r="O45" s="467">
        <v>129.14146227135751</v>
      </c>
      <c r="P45" s="467">
        <v>131.76734492144402</v>
      </c>
      <c r="Q45" s="467">
        <v>133.98325532018336</v>
      </c>
      <c r="R45" s="467">
        <v>136.21860782235413</v>
      </c>
    </row>
    <row r="46" spans="2:18" ht="6" customHeight="1">
      <c r="B46" s="464"/>
      <c r="C46" s="464"/>
      <c r="D46" s="465"/>
      <c r="E46" s="465"/>
      <c r="F46" s="465"/>
      <c r="G46" s="465"/>
      <c r="H46" s="465"/>
      <c r="I46" s="465"/>
      <c r="J46" s="465"/>
      <c r="K46" s="465"/>
      <c r="L46" s="465"/>
      <c r="M46" s="465"/>
      <c r="N46" s="465"/>
      <c r="O46" s="465"/>
      <c r="P46" s="465"/>
      <c r="Q46" s="465"/>
      <c r="R46" s="465"/>
    </row>
    <row r="47" spans="2:18" ht="10.5" customHeight="1">
      <c r="B47" s="613" t="s">
        <v>927</v>
      </c>
      <c r="C47" s="613"/>
      <c r="D47" s="613"/>
      <c r="E47" s="613"/>
      <c r="F47" s="613"/>
      <c r="G47" s="613"/>
      <c r="H47" s="613"/>
      <c r="I47" s="613"/>
      <c r="J47" s="613"/>
      <c r="K47" s="613"/>
      <c r="L47" s="613"/>
      <c r="M47" s="613"/>
      <c r="N47" s="613"/>
      <c r="O47" s="613"/>
      <c r="P47" s="613"/>
      <c r="Q47" s="468"/>
      <c r="R47" s="468"/>
    </row>
    <row r="48" spans="2:18">
      <c r="B48" s="464" t="s">
        <v>948</v>
      </c>
      <c r="C48" s="464"/>
      <c r="D48" s="469"/>
      <c r="E48" s="469"/>
      <c r="F48" s="469"/>
      <c r="G48" s="469"/>
      <c r="H48" s="469"/>
      <c r="I48" s="469"/>
      <c r="J48" s="469"/>
      <c r="K48" s="469"/>
      <c r="L48" s="469"/>
      <c r="M48" s="469"/>
      <c r="N48" s="469"/>
      <c r="O48" s="469"/>
      <c r="P48" s="469"/>
      <c r="Q48" s="469"/>
      <c r="R48" s="469"/>
    </row>
    <row r="49" spans="2:19" ht="39" customHeight="1">
      <c r="B49" s="615" t="s">
        <v>954</v>
      </c>
      <c r="C49" s="615"/>
      <c r="D49" s="615"/>
      <c r="E49" s="615"/>
      <c r="F49" s="615"/>
      <c r="G49" s="615"/>
      <c r="H49" s="615"/>
      <c r="I49" s="615"/>
      <c r="J49" s="615"/>
      <c r="K49" s="615"/>
      <c r="L49" s="615"/>
      <c r="M49" s="615"/>
      <c r="N49" s="615"/>
      <c r="O49" s="615"/>
      <c r="P49" s="615"/>
      <c r="Q49" s="615"/>
      <c r="R49" s="615"/>
    </row>
    <row r="50" spans="2:19" ht="38.450000000000003" customHeight="1">
      <c r="B50" s="615" t="s">
        <v>955</v>
      </c>
      <c r="C50" s="615"/>
      <c r="D50" s="615"/>
      <c r="E50" s="615"/>
      <c r="F50" s="615"/>
      <c r="G50" s="615"/>
      <c r="H50" s="615"/>
      <c r="I50" s="615"/>
      <c r="J50" s="615"/>
      <c r="K50" s="615"/>
      <c r="L50" s="615"/>
      <c r="M50" s="615"/>
      <c r="N50" s="615"/>
      <c r="O50" s="615"/>
      <c r="P50" s="615"/>
      <c r="Q50" s="615"/>
      <c r="R50" s="615"/>
      <c r="S50" s="487"/>
    </row>
    <row r="51" spans="2:19">
      <c r="B51" s="464"/>
      <c r="C51" s="464"/>
      <c r="D51" s="469"/>
      <c r="E51" s="469"/>
      <c r="F51" s="469"/>
      <c r="G51" s="469"/>
      <c r="H51" s="469"/>
      <c r="I51" s="469"/>
      <c r="J51" s="469"/>
      <c r="K51" s="469"/>
      <c r="L51" s="469"/>
      <c r="M51" s="469"/>
      <c r="N51" s="469"/>
      <c r="O51" s="469"/>
      <c r="P51" s="469"/>
      <c r="Q51" s="469"/>
      <c r="R51" s="469"/>
    </row>
    <row r="52" spans="2:19">
      <c r="B52" s="464"/>
      <c r="C52" s="464"/>
      <c r="D52" s="469"/>
      <c r="E52" s="469"/>
      <c r="F52" s="469"/>
      <c r="G52" s="469"/>
      <c r="H52" s="469"/>
      <c r="I52" s="469"/>
      <c r="J52" s="469"/>
      <c r="K52" s="469"/>
      <c r="L52" s="469"/>
      <c r="M52" s="469"/>
      <c r="N52" s="469"/>
      <c r="O52" s="469"/>
      <c r="P52" s="469"/>
      <c r="Q52" s="469"/>
      <c r="R52" s="469"/>
    </row>
    <row r="53" spans="2:19">
      <c r="B53" s="464"/>
      <c r="C53" s="464"/>
      <c r="D53" s="469"/>
      <c r="E53" s="469"/>
      <c r="F53" s="469"/>
      <c r="G53" s="469"/>
      <c r="H53" s="469"/>
      <c r="I53" s="469"/>
      <c r="J53" s="469"/>
      <c r="K53" s="469"/>
      <c r="L53" s="469"/>
      <c r="M53" s="469"/>
      <c r="N53" s="469"/>
      <c r="O53" s="469"/>
      <c r="P53" s="469"/>
      <c r="Q53" s="469"/>
      <c r="R53" s="469"/>
    </row>
    <row r="54" spans="2:19">
      <c r="B54" s="464"/>
      <c r="C54" s="464"/>
      <c r="D54" s="469"/>
      <c r="E54" s="469"/>
      <c r="F54" s="469"/>
      <c r="G54" s="469"/>
      <c r="H54" s="469"/>
      <c r="I54" s="469"/>
      <c r="J54" s="469"/>
      <c r="K54" s="469"/>
      <c r="L54" s="469"/>
      <c r="M54" s="469"/>
      <c r="N54" s="469"/>
      <c r="O54" s="469"/>
      <c r="P54" s="469"/>
      <c r="Q54" s="469"/>
      <c r="R54" s="469"/>
    </row>
    <row r="55" spans="2:19">
      <c r="B55" s="464"/>
      <c r="C55" s="464"/>
      <c r="D55" s="469"/>
      <c r="E55" s="469"/>
      <c r="F55" s="469"/>
      <c r="G55" s="469"/>
      <c r="H55" s="469"/>
      <c r="I55" s="469"/>
      <c r="J55" s="469"/>
      <c r="K55" s="469"/>
      <c r="L55" s="469"/>
      <c r="M55" s="469"/>
      <c r="N55" s="469"/>
      <c r="O55" s="469"/>
      <c r="P55" s="469"/>
      <c r="Q55" s="469"/>
      <c r="R55" s="469"/>
    </row>
    <row r="56" spans="2:19">
      <c r="B56" s="464"/>
      <c r="C56" s="464"/>
      <c r="D56" s="469"/>
      <c r="E56" s="469"/>
      <c r="F56" s="469"/>
      <c r="G56" s="469"/>
      <c r="H56" s="469"/>
      <c r="I56" s="469"/>
      <c r="J56" s="469"/>
      <c r="K56" s="469"/>
      <c r="L56" s="469"/>
      <c r="M56" s="469"/>
      <c r="N56" s="469"/>
      <c r="O56" s="469"/>
      <c r="P56" s="469"/>
      <c r="Q56" s="469"/>
      <c r="R56" s="469"/>
    </row>
    <row r="57" spans="2:19">
      <c r="B57" s="464"/>
      <c r="C57" s="464"/>
      <c r="D57" s="469"/>
      <c r="E57" s="469"/>
      <c r="F57" s="469"/>
      <c r="G57" s="469"/>
      <c r="H57" s="469"/>
      <c r="I57" s="469"/>
      <c r="J57" s="469"/>
      <c r="K57" s="469"/>
      <c r="L57" s="469"/>
      <c r="M57" s="469"/>
      <c r="N57" s="469"/>
      <c r="O57" s="469"/>
      <c r="P57" s="469"/>
      <c r="Q57" s="469"/>
      <c r="R57" s="469"/>
    </row>
    <row r="58" spans="2:19">
      <c r="B58" s="464"/>
      <c r="C58" s="464"/>
      <c r="D58" s="469"/>
      <c r="E58" s="469"/>
      <c r="F58" s="469"/>
      <c r="G58" s="469"/>
      <c r="H58" s="469"/>
      <c r="I58" s="469"/>
      <c r="J58" s="469"/>
      <c r="K58" s="469"/>
      <c r="L58" s="469"/>
      <c r="M58" s="469"/>
      <c r="N58" s="469"/>
      <c r="O58" s="469"/>
      <c r="P58" s="469"/>
      <c r="Q58" s="469"/>
      <c r="R58" s="469"/>
    </row>
    <row r="59" spans="2:19">
      <c r="B59" s="464"/>
      <c r="C59" s="464"/>
      <c r="D59" s="469"/>
      <c r="E59" s="469"/>
      <c r="F59" s="469"/>
      <c r="G59" s="469"/>
      <c r="H59" s="469"/>
      <c r="I59" s="469"/>
      <c r="J59" s="469"/>
      <c r="K59" s="469"/>
      <c r="L59" s="469"/>
      <c r="M59" s="469"/>
      <c r="N59" s="469"/>
      <c r="O59" s="469"/>
      <c r="P59" s="469"/>
      <c r="Q59" s="469"/>
      <c r="R59" s="469"/>
    </row>
    <row r="60" spans="2:19">
      <c r="B60" s="464"/>
      <c r="C60" s="464"/>
      <c r="D60" s="469"/>
      <c r="E60" s="469"/>
      <c r="F60" s="469"/>
      <c r="G60" s="469"/>
      <c r="H60" s="469"/>
      <c r="I60" s="469"/>
      <c r="J60" s="469"/>
      <c r="K60" s="469"/>
      <c r="L60" s="469"/>
      <c r="M60" s="469"/>
      <c r="N60" s="469"/>
      <c r="O60" s="469"/>
      <c r="P60" s="469"/>
      <c r="Q60" s="469"/>
      <c r="R60" s="469"/>
    </row>
    <row r="61" spans="2:19">
      <c r="B61" s="464"/>
      <c r="C61" s="464"/>
      <c r="D61" s="469"/>
      <c r="E61" s="469"/>
      <c r="F61" s="469"/>
      <c r="G61" s="469"/>
      <c r="H61" s="469"/>
      <c r="I61" s="469"/>
      <c r="J61" s="469"/>
      <c r="K61" s="469"/>
      <c r="L61" s="469"/>
      <c r="M61" s="469"/>
      <c r="N61" s="469"/>
      <c r="O61" s="469"/>
      <c r="P61" s="469"/>
      <c r="Q61" s="469"/>
      <c r="R61" s="469"/>
    </row>
    <row r="62" spans="2:19">
      <c r="B62" s="464"/>
      <c r="C62" s="464"/>
      <c r="D62" s="469"/>
      <c r="E62" s="469"/>
      <c r="F62" s="469"/>
      <c r="G62" s="469"/>
      <c r="H62" s="469"/>
      <c r="I62" s="469"/>
      <c r="J62" s="469"/>
      <c r="K62" s="469"/>
      <c r="L62" s="469"/>
      <c r="M62" s="469"/>
      <c r="N62" s="469"/>
      <c r="O62" s="469"/>
      <c r="P62" s="469"/>
      <c r="Q62" s="469"/>
      <c r="R62" s="469"/>
    </row>
    <row r="63" spans="2:19">
      <c r="B63" s="464"/>
      <c r="C63" s="464"/>
      <c r="D63" s="469"/>
      <c r="E63" s="469"/>
      <c r="F63" s="469"/>
      <c r="G63" s="469"/>
      <c r="H63" s="469"/>
      <c r="I63" s="469"/>
      <c r="J63" s="469"/>
      <c r="K63" s="469"/>
      <c r="L63" s="469"/>
      <c r="M63" s="469"/>
      <c r="N63" s="469"/>
      <c r="O63" s="469"/>
      <c r="P63" s="469"/>
      <c r="Q63" s="469"/>
      <c r="R63" s="469"/>
    </row>
    <row r="64" spans="2:19">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row r="80" spans="2:18">
      <c r="B80" s="464"/>
      <c r="C80" s="464"/>
      <c r="D80" s="469"/>
      <c r="E80" s="469"/>
      <c r="F80" s="469"/>
      <c r="G80" s="469"/>
      <c r="H80" s="469"/>
      <c r="I80" s="469"/>
      <c r="J80" s="469"/>
      <c r="K80" s="469"/>
      <c r="L80" s="469"/>
      <c r="M80" s="469"/>
      <c r="N80" s="469"/>
      <c r="O80" s="469"/>
      <c r="P80" s="469"/>
      <c r="Q80" s="469"/>
      <c r="R80" s="469"/>
    </row>
  </sheetData>
  <mergeCells count="4">
    <mergeCell ref="B2:N2"/>
    <mergeCell ref="B47:P47"/>
    <mergeCell ref="B49:R49"/>
    <mergeCell ref="B50:R50"/>
  </mergeCells>
  <conditionalFormatting sqref="B9:R45">
    <cfRule type="expression" dxfId="37" priority="1">
      <formula>MOD(ROW(),2)=0</formula>
    </cfRule>
  </conditionalFormatting>
  <pageMargins left="0.7" right="0.7" top="0.75" bottom="0.75" header="0.3" footer="0.3"/>
  <pageSetup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48DC0-DCAB-45DD-9068-E550015C5F04}">
  <dimension ref="E2:L14"/>
  <sheetViews>
    <sheetView topLeftCell="A4" zoomScale="98" zoomScaleNormal="98" workbookViewId="0">
      <selection activeCell="B88" sqref="B88:K88"/>
    </sheetView>
  </sheetViews>
  <sheetFormatPr defaultRowHeight="12.75"/>
  <sheetData>
    <row r="2" spans="5:12">
      <c r="I2" t="s">
        <v>150</v>
      </c>
      <c r="J2" t="s">
        <v>151</v>
      </c>
      <c r="K2" t="s">
        <v>152</v>
      </c>
      <c r="L2" t="s">
        <v>153</v>
      </c>
    </row>
    <row r="3" spans="5:12">
      <c r="H3">
        <v>2022</v>
      </c>
      <c r="I3" s="155">
        <v>2.8985507246376812</v>
      </c>
      <c r="J3" s="155">
        <v>18.840579710144929</v>
      </c>
      <c r="K3" s="155">
        <v>4.3478260869565215</v>
      </c>
      <c r="L3" s="155">
        <v>73.91304347826086</v>
      </c>
    </row>
    <row r="4" spans="5:12">
      <c r="H4">
        <v>2021</v>
      </c>
      <c r="I4" s="155">
        <v>7.2463768115942031</v>
      </c>
      <c r="J4" s="155">
        <v>4.3478260869565215</v>
      </c>
      <c r="K4" s="155">
        <v>62.318840579710141</v>
      </c>
      <c r="L4" s="155">
        <v>26.086956521739129</v>
      </c>
    </row>
    <row r="5" spans="5:12">
      <c r="H5">
        <v>2020</v>
      </c>
      <c r="I5" s="155">
        <v>76.811594202898547</v>
      </c>
      <c r="J5" s="155">
        <v>17.391304347826086</v>
      </c>
      <c r="K5" s="155">
        <v>4.3478260869565215</v>
      </c>
      <c r="L5" s="155">
        <v>1.4492753623188406</v>
      </c>
    </row>
    <row r="13" spans="5:12" ht="15.75">
      <c r="E13" s="156" t="s">
        <v>9</v>
      </c>
    </row>
    <row r="14" spans="5:12" ht="14.25">
      <c r="E14" s="157" t="s">
        <v>154</v>
      </c>
    </row>
  </sheetData>
  <pageMargins left="0.7" right="0.7" top="0.75" bottom="0.75" header="0.3" footer="0.3"/>
  <pageSetup orientation="portrait" horizontalDpi="90" verticalDpi="9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F8E42-10C3-4CFD-B86E-9E987DCAB38D}">
  <sheetPr codeName="Sheet11">
    <pageSetUpPr fitToPage="1"/>
  </sheetPr>
  <dimension ref="B2:R80"/>
  <sheetViews>
    <sheetView zoomScale="115" zoomScaleNormal="115"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20.5703125" style="451" hidden="1" customWidth="1" outlineLevel="1"/>
    <col min="4" max="4" width="8.7109375" style="452" customWidth="1" collapsed="1"/>
    <col min="5" max="14" width="8.7109375" style="452" customWidth="1"/>
    <col min="15" max="18" width="8.140625" style="452" customWidth="1"/>
    <col min="19" max="16384" width="9.140625" style="451"/>
  </cols>
  <sheetData>
    <row r="2" spans="2:18" ht="13.9" customHeight="1">
      <c r="B2" s="616" t="str">
        <f>"Table A8. Advanced Economies: General Government Net Debt, "&amp;D4&amp;"–"&amp;RIGHT(R4,2)</f>
        <v>Table A8. Advanced Economies: General Government Net Debt, 2014–28</v>
      </c>
      <c r="C2" s="616"/>
      <c r="D2" s="616"/>
      <c r="E2" s="616"/>
      <c r="F2" s="616"/>
      <c r="G2" s="616"/>
      <c r="H2" s="616"/>
      <c r="I2" s="616"/>
      <c r="J2" s="616"/>
      <c r="K2" s="616"/>
      <c r="L2" s="616"/>
      <c r="M2" s="616"/>
      <c r="N2" s="616"/>
      <c r="O2" s="485"/>
      <c r="P2" s="485"/>
      <c r="Q2" s="485"/>
      <c r="R2" s="485"/>
    </row>
    <row r="3" spans="2:18" ht="15.75">
      <c r="B3" s="486" t="s">
        <v>81</v>
      </c>
      <c r="C3" s="455"/>
      <c r="D3" s="455"/>
      <c r="E3" s="455"/>
      <c r="F3" s="455"/>
      <c r="G3" s="455"/>
      <c r="H3" s="455"/>
      <c r="I3" s="455"/>
      <c r="J3" s="455"/>
      <c r="K3" s="455"/>
      <c r="L3" s="455"/>
      <c r="M3" s="455"/>
      <c r="N3" s="455"/>
      <c r="O3" s="455"/>
      <c r="P3" s="455"/>
      <c r="Q3" s="455"/>
      <c r="R3" s="455"/>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ht="13.5">
      <c r="B5" s="459" t="s">
        <v>951</v>
      </c>
      <c r="C5" s="460" t="s">
        <v>84</v>
      </c>
      <c r="D5" s="461">
        <v>74.897536882105641</v>
      </c>
      <c r="E5" s="461">
        <v>74.88907450256265</v>
      </c>
      <c r="F5" s="461">
        <v>76.522505137448761</v>
      </c>
      <c r="G5" s="461">
        <v>74.072581034775027</v>
      </c>
      <c r="H5" s="461">
        <v>73.904953551650067</v>
      </c>
      <c r="I5" s="461">
        <v>74.748384453111129</v>
      </c>
      <c r="J5" s="461">
        <v>86.819903600863782</v>
      </c>
      <c r="K5" s="461">
        <v>84.576028938942784</v>
      </c>
      <c r="L5" s="461">
        <v>81.649326245576702</v>
      </c>
      <c r="M5" s="461">
        <v>82.51746263513806</v>
      </c>
      <c r="N5" s="461">
        <v>84.333365678119591</v>
      </c>
      <c r="O5" s="461">
        <v>85.69652798193556</v>
      </c>
      <c r="P5" s="461">
        <v>86.676139658335174</v>
      </c>
      <c r="Q5" s="461">
        <v>87.585113729332434</v>
      </c>
      <c r="R5" s="461">
        <v>88.675881650231972</v>
      </c>
    </row>
    <row r="6" spans="2:18">
      <c r="B6" s="462" t="s">
        <v>88</v>
      </c>
      <c r="C6" s="460" t="s">
        <v>88</v>
      </c>
      <c r="D6" s="461">
        <v>76.267099582512188</v>
      </c>
      <c r="E6" s="461">
        <v>75.108446450055439</v>
      </c>
      <c r="F6" s="461">
        <v>74.625753069903595</v>
      </c>
      <c r="G6" s="461">
        <v>72.367685327864862</v>
      </c>
      <c r="H6" s="461">
        <v>70.618767009158816</v>
      </c>
      <c r="I6" s="461">
        <v>68.995178100923582</v>
      </c>
      <c r="J6" s="461">
        <v>78.981838783471574</v>
      </c>
      <c r="K6" s="461">
        <v>77.769799250743489</v>
      </c>
      <c r="L6" s="461">
        <v>74.829482853890937</v>
      </c>
      <c r="M6" s="461">
        <v>74.508484729874283</v>
      </c>
      <c r="N6" s="461">
        <v>74.283266035583623</v>
      </c>
      <c r="O6" s="461">
        <v>73.706906211356866</v>
      </c>
      <c r="P6" s="461">
        <v>73.173468307969785</v>
      </c>
      <c r="Q6" s="461">
        <v>72.820022310346474</v>
      </c>
      <c r="R6" s="461">
        <v>72.404888605021725</v>
      </c>
    </row>
    <row r="7" spans="2:18">
      <c r="B7" s="462" t="s">
        <v>914</v>
      </c>
      <c r="C7" s="462" t="s">
        <v>915</v>
      </c>
      <c r="D7" s="461">
        <v>86.404151628524914</v>
      </c>
      <c r="E7" s="461">
        <v>85.77723774522903</v>
      </c>
      <c r="F7" s="461">
        <v>87.702384033999991</v>
      </c>
      <c r="G7" s="461">
        <v>85.358057542747773</v>
      </c>
      <c r="H7" s="461">
        <v>85.471526760733795</v>
      </c>
      <c r="I7" s="461">
        <v>86.171097438060386</v>
      </c>
      <c r="J7" s="461">
        <v>99.91563449785923</v>
      </c>
      <c r="K7" s="461">
        <v>98.00958758317654</v>
      </c>
      <c r="L7" s="461">
        <v>94.228052426365579</v>
      </c>
      <c r="M7" s="461">
        <v>95.303125178623375</v>
      </c>
      <c r="N7" s="461">
        <v>97.899553456224865</v>
      </c>
      <c r="O7" s="461">
        <v>99.779622402029233</v>
      </c>
      <c r="P7" s="461">
        <v>101.12656005882555</v>
      </c>
      <c r="Q7" s="461">
        <v>102.4334864928725</v>
      </c>
      <c r="R7" s="461">
        <v>103.95170391509862</v>
      </c>
    </row>
    <row r="8" spans="2:18">
      <c r="B8" s="462" t="s">
        <v>916</v>
      </c>
      <c r="C8" s="463" t="s">
        <v>86</v>
      </c>
      <c r="D8" s="461">
        <v>80.910369734070102</v>
      </c>
      <c r="E8" s="461">
        <v>80.697917324459453</v>
      </c>
      <c r="F8" s="461">
        <v>82.556912878997395</v>
      </c>
      <c r="G8" s="461">
        <v>80.140092977112204</v>
      </c>
      <c r="H8" s="461">
        <v>80.306066539308006</v>
      </c>
      <c r="I8" s="461">
        <v>81.40672454817711</v>
      </c>
      <c r="J8" s="461">
        <v>94.583213210921571</v>
      </c>
      <c r="K8" s="461">
        <v>92.684250867653574</v>
      </c>
      <c r="L8" s="461">
        <v>89.510256071031222</v>
      </c>
      <c r="M8" s="461">
        <v>90.788613780022672</v>
      </c>
      <c r="N8" s="461">
        <v>93.341808181361444</v>
      </c>
      <c r="O8" s="461">
        <v>95.138018413731444</v>
      </c>
      <c r="P8" s="461">
        <v>96.426638605398679</v>
      </c>
      <c r="Q8" s="461">
        <v>97.65150800222699</v>
      </c>
      <c r="R8" s="461">
        <v>99.063041337908089</v>
      </c>
    </row>
    <row r="9" spans="2:18" ht="13.5" customHeight="1">
      <c r="B9" s="464" t="s">
        <v>917</v>
      </c>
      <c r="C9" s="464" t="s">
        <v>917</v>
      </c>
      <c r="D9" s="465" t="s">
        <v>139</v>
      </c>
      <c r="E9" s="465" t="s">
        <v>139</v>
      </c>
      <c r="F9" s="465" t="s">
        <v>139</v>
      </c>
      <c r="G9" s="465" t="s">
        <v>139</v>
      </c>
      <c r="H9" s="465" t="s">
        <v>139</v>
      </c>
      <c r="I9" s="465" t="s">
        <v>139</v>
      </c>
      <c r="J9" s="465" t="s">
        <v>139</v>
      </c>
      <c r="K9" s="465" t="s">
        <v>139</v>
      </c>
      <c r="L9" s="465" t="s">
        <v>139</v>
      </c>
      <c r="M9" s="465" t="s">
        <v>139</v>
      </c>
      <c r="N9" s="465" t="s">
        <v>139</v>
      </c>
      <c r="O9" s="465" t="s">
        <v>139</v>
      </c>
      <c r="P9" s="465" t="s">
        <v>139</v>
      </c>
      <c r="Q9" s="465" t="s">
        <v>139</v>
      </c>
      <c r="R9" s="465" t="s">
        <v>139</v>
      </c>
    </row>
    <row r="10" spans="2:18" ht="16.5" customHeight="1">
      <c r="B10" s="464" t="s">
        <v>952</v>
      </c>
      <c r="C10" s="464" t="s">
        <v>279</v>
      </c>
      <c r="D10" s="465">
        <v>19.062482182829577</v>
      </c>
      <c r="E10" s="465">
        <v>22.106128557373285</v>
      </c>
      <c r="F10" s="465">
        <v>23.369521381661254</v>
      </c>
      <c r="G10" s="465">
        <v>23.308671889394784</v>
      </c>
      <c r="H10" s="465">
        <v>24.104084909261488</v>
      </c>
      <c r="I10" s="465">
        <v>27.882133293707412</v>
      </c>
      <c r="J10" s="465">
        <v>34.469537026513038</v>
      </c>
      <c r="K10" s="465">
        <v>33.280671112050456</v>
      </c>
      <c r="L10" s="465">
        <v>32.359083876747341</v>
      </c>
      <c r="M10" s="465">
        <v>35.900387163165334</v>
      </c>
      <c r="N10" s="465">
        <v>38.242955851725561</v>
      </c>
      <c r="O10" s="465">
        <v>39.06744909963934</v>
      </c>
      <c r="P10" s="465">
        <v>39.372673020406815</v>
      </c>
      <c r="Q10" s="465">
        <v>39.535934425459644</v>
      </c>
      <c r="R10" s="465">
        <v>39.421942093253683</v>
      </c>
    </row>
    <row r="11" spans="2:18" ht="13.5" customHeight="1">
      <c r="B11" s="464" t="s">
        <v>439</v>
      </c>
      <c r="C11" s="464" t="s">
        <v>439</v>
      </c>
      <c r="D11" s="465">
        <v>59.144351382171365</v>
      </c>
      <c r="E11" s="465">
        <v>58.28529003312233</v>
      </c>
      <c r="F11" s="465">
        <v>56.916407071430164</v>
      </c>
      <c r="G11" s="465">
        <v>55.920271127117097</v>
      </c>
      <c r="H11" s="465">
        <v>50.737520854735884</v>
      </c>
      <c r="I11" s="465">
        <v>48.002354661585379</v>
      </c>
      <c r="J11" s="465">
        <v>59.334583412611451</v>
      </c>
      <c r="K11" s="465">
        <v>60.138917101051902</v>
      </c>
      <c r="L11" s="465">
        <v>57.698291291820034</v>
      </c>
      <c r="M11" s="465">
        <v>56.374973661817762</v>
      </c>
      <c r="N11" s="465">
        <v>54.726528801411419</v>
      </c>
      <c r="O11" s="465">
        <v>54.182358193270666</v>
      </c>
      <c r="P11" s="465">
        <v>53.427986936238113</v>
      </c>
      <c r="Q11" s="465">
        <v>52.70017771864611</v>
      </c>
      <c r="R11" s="465">
        <v>52.357426468296389</v>
      </c>
    </row>
    <row r="12" spans="2:18" ht="13.5" customHeight="1">
      <c r="B12" s="464" t="s">
        <v>956</v>
      </c>
      <c r="C12" s="464" t="s">
        <v>444</v>
      </c>
      <c r="D12" s="465">
        <v>93.370040992148958</v>
      </c>
      <c r="E12" s="465">
        <v>92.003398111840113</v>
      </c>
      <c r="F12" s="465">
        <v>91.18337072904194</v>
      </c>
      <c r="G12" s="465">
        <v>88.315470171890794</v>
      </c>
      <c r="H12" s="465">
        <v>86.404768167007575</v>
      </c>
      <c r="I12" s="465">
        <v>84.750075734625881</v>
      </c>
      <c r="J12" s="465">
        <v>97.484265787493527</v>
      </c>
      <c r="K12" s="465">
        <v>94.461410438134067</v>
      </c>
      <c r="L12" s="465">
        <v>91.875990235677691</v>
      </c>
      <c r="M12" s="465">
        <v>93.236234035838677</v>
      </c>
      <c r="N12" s="465">
        <v>95.9921198285152</v>
      </c>
      <c r="O12" s="465">
        <v>99.217714688897559</v>
      </c>
      <c r="P12" s="465">
        <v>102.47871616606244</v>
      </c>
      <c r="Q12" s="465">
        <v>105.69130974354653</v>
      </c>
      <c r="R12" s="465">
        <v>108.62498600236721</v>
      </c>
    </row>
    <row r="13" spans="2:18" ht="13.5" customHeight="1">
      <c r="B13" s="464" t="s">
        <v>140</v>
      </c>
      <c r="C13" s="464" t="s">
        <v>87</v>
      </c>
      <c r="D13" s="465">
        <v>21.656896743592906</v>
      </c>
      <c r="E13" s="465">
        <v>18.518057053688104</v>
      </c>
      <c r="F13" s="465">
        <v>17.98147156183428</v>
      </c>
      <c r="G13" s="465">
        <v>12.541103342410054</v>
      </c>
      <c r="H13" s="465">
        <v>11.552394690641529</v>
      </c>
      <c r="I13" s="465">
        <v>8.4732077751935009</v>
      </c>
      <c r="J13" s="465">
        <v>15.726930719864088</v>
      </c>
      <c r="K13" s="465">
        <v>15.377838380183755</v>
      </c>
      <c r="L13" s="465">
        <v>13.925760443270107</v>
      </c>
      <c r="M13" s="465">
        <v>14.058368731709612</v>
      </c>
      <c r="N13" s="465">
        <v>13.907292545936562</v>
      </c>
      <c r="O13" s="465">
        <v>13.682559380272648</v>
      </c>
      <c r="P13" s="465">
        <v>13.121511705055749</v>
      </c>
      <c r="Q13" s="465">
        <v>12.522353399451468</v>
      </c>
      <c r="R13" s="465">
        <v>12.045324808116582</v>
      </c>
    </row>
    <row r="14" spans="2:18" ht="13.5" customHeight="1">
      <c r="B14" s="464" t="s">
        <v>430</v>
      </c>
      <c r="C14" s="464" t="s">
        <v>430</v>
      </c>
      <c r="D14" s="465">
        <v>67.561752630516239</v>
      </c>
      <c r="E14" s="465">
        <v>68.833420799440219</v>
      </c>
      <c r="F14" s="465">
        <v>67.4336058819801</v>
      </c>
      <c r="G14" s="465">
        <v>65.479421624459789</v>
      </c>
      <c r="H14" s="465">
        <v>62.487098513440657</v>
      </c>
      <c r="I14" s="465">
        <v>58.932737063064714</v>
      </c>
      <c r="J14" s="465">
        <v>69.708429961745054</v>
      </c>
      <c r="K14" s="465">
        <v>63.415853490929088</v>
      </c>
      <c r="L14" s="465">
        <v>54.498547144177309</v>
      </c>
      <c r="M14" s="465">
        <v>52.580270366203798</v>
      </c>
      <c r="N14" s="465">
        <v>51.84677351692342</v>
      </c>
      <c r="O14" s="465">
        <v>51.068877164946016</v>
      </c>
      <c r="P14" s="465">
        <v>50.217749263852987</v>
      </c>
      <c r="Q14" s="465">
        <v>49.538604782259135</v>
      </c>
      <c r="R14" s="465">
        <v>48.497699881967208</v>
      </c>
    </row>
    <row r="15" spans="2:18" ht="13.5" customHeight="1">
      <c r="B15" s="464" t="s">
        <v>421</v>
      </c>
      <c r="C15" s="464" t="s">
        <v>421</v>
      </c>
      <c r="D15" s="465">
        <v>90.339076120529896</v>
      </c>
      <c r="E15" s="465">
        <v>90.566153400319877</v>
      </c>
      <c r="F15" s="465">
        <v>85.324714940884419</v>
      </c>
      <c r="G15" s="465">
        <v>76.845556633173004</v>
      </c>
      <c r="H15" s="465">
        <v>51.059972041651477</v>
      </c>
      <c r="I15" s="465">
        <v>45.921444936809905</v>
      </c>
      <c r="J15" s="465">
        <v>56.328385476136098</v>
      </c>
      <c r="K15" s="465">
        <v>53.703765383782709</v>
      </c>
      <c r="L15" s="465" t="s">
        <v>139</v>
      </c>
      <c r="M15" s="465" t="s">
        <v>139</v>
      </c>
      <c r="N15" s="465" t="s">
        <v>139</v>
      </c>
      <c r="O15" s="465" t="s">
        <v>139</v>
      </c>
      <c r="P15" s="465" t="s">
        <v>139</v>
      </c>
      <c r="Q15" s="465" t="s">
        <v>139</v>
      </c>
      <c r="R15" s="465" t="s">
        <v>139</v>
      </c>
    </row>
    <row r="16" spans="2:18" ht="13.5" customHeight="1">
      <c r="B16" s="464" t="s">
        <v>919</v>
      </c>
      <c r="C16" s="464" t="s">
        <v>919</v>
      </c>
      <c r="D16" s="465">
        <v>29.406346315010978</v>
      </c>
      <c r="E16" s="465">
        <v>28.083196659818938</v>
      </c>
      <c r="F16" s="465">
        <v>24.972872952859081</v>
      </c>
      <c r="G16" s="465">
        <v>21.455569180449888</v>
      </c>
      <c r="H16" s="465">
        <v>19.617000270387106</v>
      </c>
      <c r="I16" s="465">
        <v>18.133702195874022</v>
      </c>
      <c r="J16" s="465">
        <v>23.585550935860468</v>
      </c>
      <c r="K16" s="465">
        <v>26.409882795356211</v>
      </c>
      <c r="L16" s="465">
        <v>28.095744398031879</v>
      </c>
      <c r="M16" s="465">
        <v>29.681069195698111</v>
      </c>
      <c r="N16" s="465">
        <v>29.027931372289927</v>
      </c>
      <c r="O16" s="465">
        <v>28.784347071210796</v>
      </c>
      <c r="P16" s="465">
        <v>29.395441748410306</v>
      </c>
      <c r="Q16" s="465">
        <v>30.210388495748674</v>
      </c>
      <c r="R16" s="465">
        <v>30.622447840517857</v>
      </c>
    </row>
    <row r="17" spans="2:18" ht="13.5" customHeight="1">
      <c r="B17" s="464" t="s">
        <v>451</v>
      </c>
      <c r="C17" s="464" t="s">
        <v>451</v>
      </c>
      <c r="D17" s="465">
        <v>18.0764348249641</v>
      </c>
      <c r="E17" s="465">
        <v>16.17055171099749</v>
      </c>
      <c r="F17" s="465">
        <v>17.496177310183228</v>
      </c>
      <c r="G17" s="465">
        <v>15.812189916824748</v>
      </c>
      <c r="H17" s="465">
        <v>13.360493317623146</v>
      </c>
      <c r="I17" s="465">
        <v>12.32204867684572</v>
      </c>
      <c r="J17" s="465">
        <v>14.708940066783709</v>
      </c>
      <c r="K17" s="465">
        <v>10.016105091612932</v>
      </c>
      <c r="L17" s="465">
        <v>6.507752430082979</v>
      </c>
      <c r="M17" s="465">
        <v>4.9927755950257007</v>
      </c>
      <c r="N17" s="465">
        <v>4.4089060277800378</v>
      </c>
      <c r="O17" s="465">
        <v>4.2615305973689424</v>
      </c>
      <c r="P17" s="465">
        <v>4.2454006030775551</v>
      </c>
      <c r="Q17" s="465">
        <v>4.2384879775722073</v>
      </c>
      <c r="R17" s="465">
        <v>4.2871935921823905</v>
      </c>
    </row>
    <row r="18" spans="2:18" ht="13.5" customHeight="1">
      <c r="B18" s="464" t="s">
        <v>423</v>
      </c>
      <c r="C18" s="464" t="s">
        <v>423</v>
      </c>
      <c r="D18" s="465">
        <v>-3.8033282738675687</v>
      </c>
      <c r="E18" s="465">
        <v>-2.0245868306370345</v>
      </c>
      <c r="F18" s="465">
        <v>-1.9316807599814234</v>
      </c>
      <c r="G18" s="465">
        <v>-1.8175997529541239</v>
      </c>
      <c r="H18" s="465">
        <v>-1.7765578430189222</v>
      </c>
      <c r="I18" s="465">
        <v>-2.1941506364369436</v>
      </c>
      <c r="J18" s="465">
        <v>2.9812510331338271</v>
      </c>
      <c r="K18" s="465">
        <v>4.4579537807696763</v>
      </c>
      <c r="L18" s="465">
        <v>5.9314957977061713</v>
      </c>
      <c r="M18" s="465">
        <v>10.479383685337783</v>
      </c>
      <c r="N18" s="465">
        <v>13.391579387950486</v>
      </c>
      <c r="O18" s="465">
        <v>15.198226331006804</v>
      </c>
      <c r="P18" s="465">
        <v>16.353551306621313</v>
      </c>
      <c r="Q18" s="465">
        <v>16.945453475216059</v>
      </c>
      <c r="R18" s="465">
        <v>17.2703839694245</v>
      </c>
    </row>
    <row r="19" spans="2:18" ht="13.5" customHeight="1">
      <c r="B19" s="464" t="s">
        <v>957</v>
      </c>
      <c r="C19" s="464" t="s">
        <v>481</v>
      </c>
      <c r="D19" s="465">
        <v>17.190143407987065</v>
      </c>
      <c r="E19" s="465">
        <v>18.431625236806301</v>
      </c>
      <c r="F19" s="465">
        <v>21.236261370012137</v>
      </c>
      <c r="G19" s="465">
        <v>21.819475391988103</v>
      </c>
      <c r="H19" s="465">
        <v>24.488221212369893</v>
      </c>
      <c r="I19" s="465">
        <v>27.011686500689159</v>
      </c>
      <c r="J19" s="465">
        <v>33.319760293240151</v>
      </c>
      <c r="K19" s="465">
        <v>34.34746682156117</v>
      </c>
      <c r="L19" s="465">
        <v>34.139678351998356</v>
      </c>
      <c r="M19" s="465">
        <v>34.544711316284477</v>
      </c>
      <c r="N19" s="465">
        <v>35.72251283012546</v>
      </c>
      <c r="O19" s="465">
        <v>37.622022268810937</v>
      </c>
      <c r="P19" s="465">
        <v>39.375395047886144</v>
      </c>
      <c r="Q19" s="465">
        <v>40.968494037441786</v>
      </c>
      <c r="R19" s="465">
        <v>42.41483295336009</v>
      </c>
    </row>
    <row r="20" spans="2:18" ht="13.5" customHeight="1">
      <c r="B20" s="464" t="s">
        <v>90</v>
      </c>
      <c r="C20" s="464" t="s">
        <v>90</v>
      </c>
      <c r="D20" s="465">
        <v>85.465155493740014</v>
      </c>
      <c r="E20" s="465">
        <v>86.347906144015369</v>
      </c>
      <c r="F20" s="465">
        <v>89.184644217052821</v>
      </c>
      <c r="G20" s="465">
        <v>89.376739585990506</v>
      </c>
      <c r="H20" s="465">
        <v>89.239395998656121</v>
      </c>
      <c r="I20" s="465">
        <v>88.881231193349279</v>
      </c>
      <c r="J20" s="465">
        <v>101.74860387926294</v>
      </c>
      <c r="K20" s="465">
        <v>100.55934333884393</v>
      </c>
      <c r="L20" s="465">
        <v>99.045189496778775</v>
      </c>
      <c r="M20" s="465">
        <v>99.417528171928566</v>
      </c>
      <c r="N20" s="465">
        <v>100.39094794921787</v>
      </c>
      <c r="O20" s="465">
        <v>100.76223500979818</v>
      </c>
      <c r="P20" s="465">
        <v>101.32817153647393</v>
      </c>
      <c r="Q20" s="465">
        <v>102.15659304695936</v>
      </c>
      <c r="R20" s="465">
        <v>102.97397662780148</v>
      </c>
    </row>
    <row r="21" spans="2:18" ht="13.5" customHeight="1">
      <c r="B21" s="464" t="s">
        <v>91</v>
      </c>
      <c r="C21" s="464" t="s">
        <v>91</v>
      </c>
      <c r="D21" s="465">
        <v>54.864813163764801</v>
      </c>
      <c r="E21" s="465">
        <v>52.170492171648739</v>
      </c>
      <c r="F21" s="465">
        <v>49.30871459833989</v>
      </c>
      <c r="G21" s="465">
        <v>44.950997196341774</v>
      </c>
      <c r="H21" s="465">
        <v>42.220238006804436</v>
      </c>
      <c r="I21" s="465">
        <v>40.054933981331658</v>
      </c>
      <c r="J21" s="465">
        <v>45.37617863236067</v>
      </c>
      <c r="K21" s="465">
        <v>45.579676546123409</v>
      </c>
      <c r="L21" s="465">
        <v>45.072885015709652</v>
      </c>
      <c r="M21" s="465">
        <v>46.691418711307307</v>
      </c>
      <c r="N21" s="465">
        <v>46.79312457198774</v>
      </c>
      <c r="O21" s="465">
        <v>45.587110731254931</v>
      </c>
      <c r="P21" s="465">
        <v>44.312431443725075</v>
      </c>
      <c r="Q21" s="465">
        <v>43.472373058777649</v>
      </c>
      <c r="R21" s="465">
        <v>42.670188559031267</v>
      </c>
    </row>
    <row r="22" spans="2:18" ht="13.5" customHeight="1">
      <c r="B22" s="464" t="s">
        <v>425</v>
      </c>
      <c r="C22" s="464" t="s">
        <v>425</v>
      </c>
      <c r="D22" s="465" t="s">
        <v>139</v>
      </c>
      <c r="E22" s="465" t="s">
        <v>139</v>
      </c>
      <c r="F22" s="465" t="s">
        <v>139</v>
      </c>
      <c r="G22" s="465" t="s">
        <v>139</v>
      </c>
      <c r="H22" s="465" t="s">
        <v>139</v>
      </c>
      <c r="I22" s="465" t="s">
        <v>139</v>
      </c>
      <c r="J22" s="465" t="s">
        <v>139</v>
      </c>
      <c r="K22" s="465" t="s">
        <v>139</v>
      </c>
      <c r="L22" s="465" t="s">
        <v>139</v>
      </c>
      <c r="M22" s="465" t="s">
        <v>139</v>
      </c>
      <c r="N22" s="465" t="s">
        <v>139</v>
      </c>
      <c r="O22" s="465" t="s">
        <v>139</v>
      </c>
      <c r="P22" s="465" t="s">
        <v>139</v>
      </c>
      <c r="Q22" s="465" t="s">
        <v>139</v>
      </c>
      <c r="R22" s="465" t="s">
        <v>139</v>
      </c>
    </row>
    <row r="23" spans="2:18" ht="13.5" customHeight="1">
      <c r="B23" s="464" t="s">
        <v>953</v>
      </c>
      <c r="C23" s="464" t="s">
        <v>920</v>
      </c>
      <c r="D23" s="465" t="s">
        <v>139</v>
      </c>
      <c r="E23" s="465" t="s">
        <v>139</v>
      </c>
      <c r="F23" s="465" t="s">
        <v>139</v>
      </c>
      <c r="G23" s="465" t="s">
        <v>139</v>
      </c>
      <c r="H23" s="465" t="s">
        <v>139</v>
      </c>
      <c r="I23" s="465" t="s">
        <v>139</v>
      </c>
      <c r="J23" s="465" t="s">
        <v>139</v>
      </c>
      <c r="K23" s="465" t="s">
        <v>139</v>
      </c>
      <c r="L23" s="465" t="s">
        <v>139</v>
      </c>
      <c r="M23" s="465" t="s">
        <v>139</v>
      </c>
      <c r="N23" s="465" t="s">
        <v>139</v>
      </c>
      <c r="O23" s="465" t="s">
        <v>139</v>
      </c>
      <c r="P23" s="465" t="s">
        <v>139</v>
      </c>
      <c r="Q23" s="465" t="s">
        <v>139</v>
      </c>
      <c r="R23" s="465" t="s">
        <v>139</v>
      </c>
    </row>
    <row r="24" spans="2:18" ht="13.5" customHeight="1">
      <c r="B24" s="464" t="s">
        <v>958</v>
      </c>
      <c r="C24" s="464" t="s">
        <v>921</v>
      </c>
      <c r="D24" s="465">
        <v>88.189574186621684</v>
      </c>
      <c r="E24" s="465">
        <v>78.088995901071812</v>
      </c>
      <c r="F24" s="465">
        <v>67.668754199747141</v>
      </c>
      <c r="G24" s="465">
        <v>60.258807952735069</v>
      </c>
      <c r="H24" s="465">
        <v>50.746750415603636</v>
      </c>
      <c r="I24" s="465">
        <v>54.402302435010874</v>
      </c>
      <c r="J24" s="465">
        <v>61.068435000539608</v>
      </c>
      <c r="K24" s="465">
        <v>60.356941552300057</v>
      </c>
      <c r="L24" s="465">
        <v>57.066160509088746</v>
      </c>
      <c r="M24" s="465">
        <v>53.773718876832696</v>
      </c>
      <c r="N24" s="465">
        <v>51.187250407096329</v>
      </c>
      <c r="O24" s="465">
        <v>47.66008322804619</v>
      </c>
      <c r="P24" s="465">
        <v>43.617216071786906</v>
      </c>
      <c r="Q24" s="465">
        <v>39.345059442878721</v>
      </c>
      <c r="R24" s="465">
        <v>35.887508950092389</v>
      </c>
    </row>
    <row r="25" spans="2:18" ht="13.5" customHeight="1">
      <c r="B25" s="464" t="s">
        <v>959</v>
      </c>
      <c r="C25" s="464" t="s">
        <v>429</v>
      </c>
      <c r="D25" s="465">
        <v>85.795217469308255</v>
      </c>
      <c r="E25" s="465">
        <v>65.699873752737886</v>
      </c>
      <c r="F25" s="465">
        <v>65.370495103735664</v>
      </c>
      <c r="G25" s="465">
        <v>58.811538035283093</v>
      </c>
      <c r="H25" s="465">
        <v>54.198009374492926</v>
      </c>
      <c r="I25" s="465">
        <v>48.777477187031302</v>
      </c>
      <c r="J25" s="465">
        <v>49.75337681983499</v>
      </c>
      <c r="K25" s="465">
        <v>45.106654499475702</v>
      </c>
      <c r="L25" s="465">
        <v>36.516476535202742</v>
      </c>
      <c r="M25" s="465">
        <v>32.014454555106362</v>
      </c>
      <c r="N25" s="465">
        <v>28.794112512242855</v>
      </c>
      <c r="O25" s="465">
        <v>26.396825437207976</v>
      </c>
      <c r="P25" s="465">
        <v>24.167717648736602</v>
      </c>
      <c r="Q25" s="465">
        <v>21.57543629554387</v>
      </c>
      <c r="R25" s="465">
        <v>19.360407513571467</v>
      </c>
    </row>
    <row r="26" spans="2:18" ht="13.5" customHeight="1">
      <c r="B26" s="464" t="s">
        <v>923</v>
      </c>
      <c r="C26" s="464" t="s">
        <v>923</v>
      </c>
      <c r="D26" s="465">
        <v>62.3</v>
      </c>
      <c r="E26" s="465">
        <v>60.6</v>
      </c>
      <c r="F26" s="465">
        <v>59</v>
      </c>
      <c r="G26" s="465">
        <v>57.099999999999994</v>
      </c>
      <c r="H26" s="465">
        <v>57.599999999999994</v>
      </c>
      <c r="I26" s="465">
        <v>57.499999999999993</v>
      </c>
      <c r="J26" s="465">
        <v>67.600000000000009</v>
      </c>
      <c r="K26" s="465">
        <v>65.100000000000009</v>
      </c>
      <c r="L26" s="465">
        <v>58.369228179427836</v>
      </c>
      <c r="M26" s="465">
        <v>55.20265002833569</v>
      </c>
      <c r="N26" s="465">
        <v>53.122653753019222</v>
      </c>
      <c r="O26" s="465">
        <v>52.36810388986941</v>
      </c>
      <c r="P26" s="465">
        <v>52.091110152304132</v>
      </c>
      <c r="Q26" s="465">
        <v>51.875629549472457</v>
      </c>
      <c r="R26" s="465">
        <v>51.719000566082443</v>
      </c>
    </row>
    <row r="27" spans="2:18" ht="13.5" customHeight="1">
      <c r="B27" s="464" t="s">
        <v>92</v>
      </c>
      <c r="C27" s="464" t="s">
        <v>92</v>
      </c>
      <c r="D27" s="465">
        <v>121.41911729463943</v>
      </c>
      <c r="E27" s="465">
        <v>122.23764690957528</v>
      </c>
      <c r="F27" s="465">
        <v>121.6040693789963</v>
      </c>
      <c r="G27" s="465">
        <v>121.29134460406095</v>
      </c>
      <c r="H27" s="465">
        <v>121.82465644231002</v>
      </c>
      <c r="I27" s="465">
        <v>121.6944554525984</v>
      </c>
      <c r="J27" s="465">
        <v>141.43279430711252</v>
      </c>
      <c r="K27" s="465">
        <v>137.30541776026527</v>
      </c>
      <c r="L27" s="465">
        <v>132.98787472769337</v>
      </c>
      <c r="M27" s="465">
        <v>129.33788956084106</v>
      </c>
      <c r="N27" s="465">
        <v>129.41000600134106</v>
      </c>
      <c r="O27" s="465">
        <v>128.21022252518716</v>
      </c>
      <c r="P27" s="465">
        <v>126.92086120932258</v>
      </c>
      <c r="Q27" s="465">
        <v>125.12226065482648</v>
      </c>
      <c r="R27" s="465">
        <v>122.55135812738909</v>
      </c>
    </row>
    <row r="28" spans="2:18" ht="13.5" customHeight="1">
      <c r="B28" s="464" t="s">
        <v>96</v>
      </c>
      <c r="C28" s="464" t="s">
        <v>96</v>
      </c>
      <c r="D28" s="465">
        <v>144.93722281578016</v>
      </c>
      <c r="E28" s="465">
        <v>144.45113342616543</v>
      </c>
      <c r="F28" s="465">
        <v>149.50180448912366</v>
      </c>
      <c r="G28" s="465">
        <v>148.06665666195963</v>
      </c>
      <c r="H28" s="465">
        <v>151.14676694630779</v>
      </c>
      <c r="I28" s="465">
        <v>151.7459149839159</v>
      </c>
      <c r="J28" s="465">
        <v>162.33644429868235</v>
      </c>
      <c r="K28" s="465">
        <v>156.89524523403045</v>
      </c>
      <c r="L28" s="465">
        <v>162.6517462207209</v>
      </c>
      <c r="M28" s="465">
        <v>161.00625237068166</v>
      </c>
      <c r="N28" s="465">
        <v>159.2972728149422</v>
      </c>
      <c r="O28" s="465">
        <v>159.16559125124573</v>
      </c>
      <c r="P28" s="465">
        <v>159.41953501825009</v>
      </c>
      <c r="Q28" s="465">
        <v>160.1682788879036</v>
      </c>
      <c r="R28" s="465">
        <v>161.28033756524769</v>
      </c>
    </row>
    <row r="29" spans="2:18" ht="13.5" customHeight="1">
      <c r="B29" s="464" t="s">
        <v>283</v>
      </c>
      <c r="C29" s="464" t="s">
        <v>283</v>
      </c>
      <c r="D29" s="465">
        <v>7.5181633719453025</v>
      </c>
      <c r="E29" s="465">
        <v>9.4892306470370933</v>
      </c>
      <c r="F29" s="465">
        <v>9.7342031177345483</v>
      </c>
      <c r="G29" s="465">
        <v>9.6058580785905328</v>
      </c>
      <c r="H29" s="465">
        <v>9.5779860431361943</v>
      </c>
      <c r="I29" s="465">
        <v>11.68097060654474</v>
      </c>
      <c r="J29" s="465">
        <v>18.253967314388913</v>
      </c>
      <c r="K29" s="465">
        <v>20.886542973290233</v>
      </c>
      <c r="L29" s="465">
        <v>23.886660939431987</v>
      </c>
      <c r="M29" s="465">
        <v>24.838010854697199</v>
      </c>
      <c r="N29" s="465">
        <v>25.433705262303903</v>
      </c>
      <c r="O29" s="465">
        <v>26.12280882874024</v>
      </c>
      <c r="P29" s="465">
        <v>26.772580870651737</v>
      </c>
      <c r="Q29" s="465">
        <v>27.328976373998749</v>
      </c>
      <c r="R29" s="465">
        <v>27.760313510867217</v>
      </c>
    </row>
    <row r="30" spans="2:18" ht="13.5" customHeight="1">
      <c r="B30" s="464" t="s">
        <v>442</v>
      </c>
      <c r="C30" s="464" t="s">
        <v>442</v>
      </c>
      <c r="D30" s="465">
        <v>30.269516883335807</v>
      </c>
      <c r="E30" s="465">
        <v>31.358193745482616</v>
      </c>
      <c r="F30" s="465">
        <v>31.19800516600484</v>
      </c>
      <c r="G30" s="465">
        <v>30.497391102474154</v>
      </c>
      <c r="H30" s="465">
        <v>28.751377057356891</v>
      </c>
      <c r="I30" s="465">
        <v>28.207650757054392</v>
      </c>
      <c r="J30" s="465">
        <v>32.501193279788396</v>
      </c>
      <c r="K30" s="465">
        <v>34.17395894753755</v>
      </c>
      <c r="L30" s="465">
        <v>32.772572164433143</v>
      </c>
      <c r="M30" s="465">
        <v>33.957266541542893</v>
      </c>
      <c r="N30" s="465">
        <v>33.49775619907728</v>
      </c>
      <c r="O30" s="465">
        <v>34.075718854914903</v>
      </c>
      <c r="P30" s="465">
        <v>33.198815326725963</v>
      </c>
      <c r="Q30" s="465">
        <v>31.482862847457234</v>
      </c>
      <c r="R30" s="465">
        <v>31.310008738735373</v>
      </c>
    </row>
    <row r="31" spans="2:18" ht="13.5" customHeight="1">
      <c r="B31" s="464" t="s">
        <v>433</v>
      </c>
      <c r="C31" s="464" t="s">
        <v>433</v>
      </c>
      <c r="D31" s="465">
        <v>32.539551628837685</v>
      </c>
      <c r="E31" s="465">
        <v>35.445205204347488</v>
      </c>
      <c r="F31" s="465">
        <v>32.947011949117893</v>
      </c>
      <c r="G31" s="465">
        <v>32.946260670872334</v>
      </c>
      <c r="H31" s="465">
        <v>27.725594966077267</v>
      </c>
      <c r="I31" s="465">
        <v>30.304366139011453</v>
      </c>
      <c r="J31" s="465">
        <v>40.904931735299733</v>
      </c>
      <c r="K31" s="465">
        <v>39.216041581373823</v>
      </c>
      <c r="L31" s="465">
        <v>35.522717397840495</v>
      </c>
      <c r="M31" s="465">
        <v>36.464176033735015</v>
      </c>
      <c r="N31" s="465">
        <v>35.711831607570787</v>
      </c>
      <c r="O31" s="465">
        <v>34.805071261903869</v>
      </c>
      <c r="P31" s="465">
        <v>33.839837922718054</v>
      </c>
      <c r="Q31" s="465">
        <v>32.922564097807296</v>
      </c>
      <c r="R31" s="465">
        <v>32.260561276859448</v>
      </c>
    </row>
    <row r="32" spans="2:18" ht="13.5" customHeight="1">
      <c r="B32" s="464" t="s">
        <v>440</v>
      </c>
      <c r="C32" s="464" t="s">
        <v>440</v>
      </c>
      <c r="D32" s="465">
        <v>-10.939095948547344</v>
      </c>
      <c r="E32" s="465">
        <v>-12.198757350985549</v>
      </c>
      <c r="F32" s="465">
        <v>-11.649053515513806</v>
      </c>
      <c r="G32" s="465">
        <v>-11.319985971861204</v>
      </c>
      <c r="H32" s="465">
        <v>-11.757416684963042</v>
      </c>
      <c r="I32" s="465">
        <v>-14.121496720572935</v>
      </c>
      <c r="J32" s="465">
        <v>-10.483954375440909</v>
      </c>
      <c r="K32" s="465">
        <v>-10.891071305069506</v>
      </c>
      <c r="L32" s="465">
        <v>-8.4696741757194527</v>
      </c>
      <c r="M32" s="465">
        <v>-3.8494244906856268</v>
      </c>
      <c r="N32" s="465">
        <v>-0.68899748959387941</v>
      </c>
      <c r="O32" s="465">
        <v>1.3433436934385743</v>
      </c>
      <c r="P32" s="465">
        <v>2.587348581412495</v>
      </c>
      <c r="Q32" s="465">
        <v>3.582159731234364</v>
      </c>
      <c r="R32" s="465">
        <v>4.4601363359426518</v>
      </c>
    </row>
    <row r="33" spans="2:18" ht="13.5" customHeight="1">
      <c r="B33" s="464" t="s">
        <v>437</v>
      </c>
      <c r="C33" s="464" t="s">
        <v>437</v>
      </c>
      <c r="D33" s="465">
        <v>52.743065645553479</v>
      </c>
      <c r="E33" s="465">
        <v>47.80872907186464</v>
      </c>
      <c r="F33" s="465">
        <v>41.823789290142514</v>
      </c>
      <c r="G33" s="465">
        <v>35.391158803468024</v>
      </c>
      <c r="H33" s="465">
        <v>32.871872416807498</v>
      </c>
      <c r="I33" s="465">
        <v>29.218928164196122</v>
      </c>
      <c r="J33" s="465">
        <v>42.389771979616775</v>
      </c>
      <c r="K33" s="465">
        <v>44.808931123482857</v>
      </c>
      <c r="L33" s="465">
        <v>49.267978699386354</v>
      </c>
      <c r="M33" s="465">
        <v>50.848814195999104</v>
      </c>
      <c r="N33" s="465">
        <v>51.377821858773572</v>
      </c>
      <c r="O33" s="465">
        <v>51.249061432980994</v>
      </c>
      <c r="P33" s="465">
        <v>51.031121594556105</v>
      </c>
      <c r="Q33" s="465">
        <v>51.074470553619399</v>
      </c>
      <c r="R33" s="465">
        <v>50.860656606396951</v>
      </c>
    </row>
    <row r="34" spans="2:18" ht="13.5" customHeight="1">
      <c r="B34" s="464" t="s">
        <v>441</v>
      </c>
      <c r="C34" s="464" t="s">
        <v>448</v>
      </c>
      <c r="D34" s="465">
        <v>55.1092977544821</v>
      </c>
      <c r="E34" s="465">
        <v>53.304744292819791</v>
      </c>
      <c r="F34" s="465">
        <v>51.54001555756652</v>
      </c>
      <c r="G34" s="465">
        <v>46.647275742197344</v>
      </c>
      <c r="H34" s="465">
        <v>42.948980463977946</v>
      </c>
      <c r="I34" s="465">
        <v>39.766199410093776</v>
      </c>
      <c r="J34" s="465">
        <v>44.779249374178377</v>
      </c>
      <c r="K34" s="465">
        <v>42.948581010867791</v>
      </c>
      <c r="L34" s="465">
        <v>39.731383785930888</v>
      </c>
      <c r="M34" s="465">
        <v>39.461152286260706</v>
      </c>
      <c r="N34" s="465">
        <v>38.765074607150282</v>
      </c>
      <c r="O34" s="465">
        <v>38.462579126084265</v>
      </c>
      <c r="P34" s="465">
        <v>38.11195651438446</v>
      </c>
      <c r="Q34" s="465">
        <v>37.858996549880786</v>
      </c>
      <c r="R34" s="465">
        <v>37.894274841152296</v>
      </c>
    </row>
    <row r="35" spans="2:18" ht="13.5" customHeight="1">
      <c r="B35" s="464" t="s">
        <v>924</v>
      </c>
      <c r="C35" s="464" t="s">
        <v>924</v>
      </c>
      <c r="D35" s="465">
        <v>7.9356777578534903</v>
      </c>
      <c r="E35" s="465">
        <v>7.3447652353607413</v>
      </c>
      <c r="F35" s="465">
        <v>6.6300248194776659</v>
      </c>
      <c r="G35" s="465">
        <v>5.5538676975405004</v>
      </c>
      <c r="H35" s="465">
        <v>4.7198751768548268</v>
      </c>
      <c r="I35" s="465">
        <v>6.8668440786408285</v>
      </c>
      <c r="J35" s="465">
        <v>10.356798099056954</v>
      </c>
      <c r="K35" s="465">
        <v>14.063369733490926</v>
      </c>
      <c r="L35" s="465">
        <v>19.719360797320242</v>
      </c>
      <c r="M35" s="465">
        <v>23.178557272502058</v>
      </c>
      <c r="N35" s="465">
        <v>24.116908954887208</v>
      </c>
      <c r="O35" s="465">
        <v>25.2430237997695</v>
      </c>
      <c r="P35" s="465">
        <v>25.703264721348518</v>
      </c>
      <c r="Q35" s="465">
        <v>23.504160178957566</v>
      </c>
      <c r="R35" s="465">
        <v>22.159029673985536</v>
      </c>
    </row>
    <row r="36" spans="2:18" ht="13.5" customHeight="1">
      <c r="B36" s="464" t="s">
        <v>431</v>
      </c>
      <c r="C36" s="464" t="s">
        <v>431</v>
      </c>
      <c r="D36" s="465">
        <v>-74.124361079228549</v>
      </c>
      <c r="E36" s="465">
        <v>-85.053749253637889</v>
      </c>
      <c r="F36" s="465">
        <v>-83.716004473633959</v>
      </c>
      <c r="G36" s="465">
        <v>-78.607584537704668</v>
      </c>
      <c r="H36" s="465">
        <v>-70.92074805519573</v>
      </c>
      <c r="I36" s="465">
        <v>-74.200235978621805</v>
      </c>
      <c r="J36" s="465">
        <v>-78.969168658775274</v>
      </c>
      <c r="K36" s="465">
        <v>-85.300975562615918</v>
      </c>
      <c r="L36" s="465">
        <v>-57.2886382392212</v>
      </c>
      <c r="M36" s="465">
        <v>-68.409976498921836</v>
      </c>
      <c r="N36" s="465">
        <v>-81.389890376502592</v>
      </c>
      <c r="O36" s="465">
        <v>-93.880926908719204</v>
      </c>
      <c r="P36" s="465">
        <v>-106.73566409490149</v>
      </c>
      <c r="Q36" s="465">
        <v>-118.84998644149204</v>
      </c>
      <c r="R36" s="465">
        <v>-130.4406176874366</v>
      </c>
    </row>
    <row r="37" spans="2:18" ht="13.5" customHeight="1">
      <c r="B37" s="464" t="s">
        <v>443</v>
      </c>
      <c r="C37" s="464" t="s">
        <v>443</v>
      </c>
      <c r="D37" s="465">
        <v>120.64971739985913</v>
      </c>
      <c r="E37" s="465">
        <v>121.04798089400222</v>
      </c>
      <c r="F37" s="465">
        <v>119.44074153117221</v>
      </c>
      <c r="G37" s="465">
        <v>116.01830289909879</v>
      </c>
      <c r="H37" s="465">
        <v>113.39104083062925</v>
      </c>
      <c r="I37" s="465">
        <v>109.85699338587995</v>
      </c>
      <c r="J37" s="465">
        <v>122.98331977683898</v>
      </c>
      <c r="K37" s="465">
        <v>118.14487305876705</v>
      </c>
      <c r="L37" s="465">
        <v>109.55750254243424</v>
      </c>
      <c r="M37" s="465">
        <v>106.1926069892219</v>
      </c>
      <c r="N37" s="465">
        <v>102.72895880769022</v>
      </c>
      <c r="O37" s="465">
        <v>99.57692112398027</v>
      </c>
      <c r="P37" s="465">
        <v>96.787467796947865</v>
      </c>
      <c r="Q37" s="465">
        <v>94.092399106284589</v>
      </c>
      <c r="R37" s="465">
        <v>91.439398615401174</v>
      </c>
    </row>
    <row r="38" spans="2:18">
      <c r="B38" s="464" t="s">
        <v>925</v>
      </c>
      <c r="C38" s="464" t="s">
        <v>925</v>
      </c>
      <c r="D38" s="465" t="s">
        <v>139</v>
      </c>
      <c r="E38" s="465" t="s">
        <v>139</v>
      </c>
      <c r="F38" s="465" t="s">
        <v>139</v>
      </c>
      <c r="G38" s="465" t="s">
        <v>139</v>
      </c>
      <c r="H38" s="465" t="s">
        <v>139</v>
      </c>
      <c r="I38" s="465" t="s">
        <v>139</v>
      </c>
      <c r="J38" s="465" t="s">
        <v>139</v>
      </c>
      <c r="K38" s="465" t="s">
        <v>139</v>
      </c>
      <c r="L38" s="465" t="s">
        <v>139</v>
      </c>
      <c r="M38" s="465" t="s">
        <v>139</v>
      </c>
      <c r="N38" s="465" t="s">
        <v>139</v>
      </c>
      <c r="O38" s="465" t="s">
        <v>139</v>
      </c>
      <c r="P38" s="465" t="s">
        <v>139</v>
      </c>
      <c r="Q38" s="465" t="s">
        <v>139</v>
      </c>
      <c r="R38" s="465" t="s">
        <v>139</v>
      </c>
    </row>
    <row r="39" spans="2:18">
      <c r="B39" s="464" t="s">
        <v>449</v>
      </c>
      <c r="C39" s="464" t="s">
        <v>449</v>
      </c>
      <c r="D39" s="465">
        <v>49.524258557124988</v>
      </c>
      <c r="E39" s="465">
        <v>47.271172902678281</v>
      </c>
      <c r="F39" s="465">
        <v>46.932323961946764</v>
      </c>
      <c r="G39" s="465">
        <v>45.782385475830253</v>
      </c>
      <c r="H39" s="465">
        <v>43.371827666740472</v>
      </c>
      <c r="I39" s="465">
        <v>43.120522166006268</v>
      </c>
      <c r="J39" s="465">
        <v>48.93639798016779</v>
      </c>
      <c r="K39" s="465">
        <v>50.549110360017458</v>
      </c>
      <c r="L39" s="465">
        <v>48.977806143905127</v>
      </c>
      <c r="M39" s="465">
        <v>49.909629174953288</v>
      </c>
      <c r="N39" s="465">
        <v>50.979825809984568</v>
      </c>
      <c r="O39" s="465">
        <v>52.799810386404125</v>
      </c>
      <c r="P39" s="465">
        <v>54.432180490601858</v>
      </c>
      <c r="Q39" s="465">
        <v>55.982485406575258</v>
      </c>
      <c r="R39" s="465">
        <v>57.340910277974466</v>
      </c>
    </row>
    <row r="40" spans="2:18">
      <c r="B40" s="464" t="s">
        <v>432</v>
      </c>
      <c r="C40" s="464" t="s">
        <v>432</v>
      </c>
      <c r="D40" s="465">
        <v>63.832630958011592</v>
      </c>
      <c r="E40" s="465">
        <v>63.626278875233254</v>
      </c>
      <c r="F40" s="465">
        <v>62.693018092084927</v>
      </c>
      <c r="G40" s="465">
        <v>60.167909363353353</v>
      </c>
      <c r="H40" s="465">
        <v>53.417559829367235</v>
      </c>
      <c r="I40" s="465">
        <v>49.932829485795288</v>
      </c>
      <c r="J40" s="465">
        <v>57.18736641521712</v>
      </c>
      <c r="K40" s="465">
        <v>56.382630281508042</v>
      </c>
      <c r="L40" s="465">
        <v>53.186827143588076</v>
      </c>
      <c r="M40" s="465">
        <v>52.297945693787931</v>
      </c>
      <c r="N40" s="465">
        <v>51.889651004501083</v>
      </c>
      <c r="O40" s="465">
        <v>51.409989662942259</v>
      </c>
      <c r="P40" s="465">
        <v>50.872750741771554</v>
      </c>
      <c r="Q40" s="465">
        <v>50.409400602813172</v>
      </c>
      <c r="R40" s="465">
        <v>49.993066011165467</v>
      </c>
    </row>
    <row r="41" spans="2:18">
      <c r="B41" s="464" t="s">
        <v>94</v>
      </c>
      <c r="C41" s="464" t="s">
        <v>94</v>
      </c>
      <c r="D41" s="465">
        <v>86.236672677337381</v>
      </c>
      <c r="E41" s="465">
        <v>86.021566619546391</v>
      </c>
      <c r="F41" s="465">
        <v>87.127669729545403</v>
      </c>
      <c r="G41" s="465">
        <v>86.185011681800816</v>
      </c>
      <c r="H41" s="465">
        <v>84.908515781333193</v>
      </c>
      <c r="I41" s="465">
        <v>83.713728800903723</v>
      </c>
      <c r="J41" s="465">
        <v>103.00035018233633</v>
      </c>
      <c r="K41" s="465">
        <v>102.28999189620514</v>
      </c>
      <c r="L41" s="465">
        <v>97.360168780382892</v>
      </c>
      <c r="M41" s="465">
        <v>96.625317168319825</v>
      </c>
      <c r="N41" s="465">
        <v>95.206779272890145</v>
      </c>
      <c r="O41" s="465">
        <v>95.307289921713092</v>
      </c>
      <c r="P41" s="465">
        <v>96.069745995501492</v>
      </c>
      <c r="Q41" s="465">
        <v>96.949650666044306</v>
      </c>
      <c r="R41" s="465">
        <v>97.905926882359736</v>
      </c>
    </row>
    <row r="42" spans="2:18">
      <c r="B42" s="464" t="s">
        <v>422</v>
      </c>
      <c r="C42" s="464" t="s">
        <v>422</v>
      </c>
      <c r="D42" s="465">
        <v>11.223799255146229</v>
      </c>
      <c r="E42" s="465">
        <v>11.147737221480259</v>
      </c>
      <c r="F42" s="465">
        <v>8.8798017499763873</v>
      </c>
      <c r="G42" s="465">
        <v>6.2024469124303208</v>
      </c>
      <c r="H42" s="465">
        <v>6.1446188373313539</v>
      </c>
      <c r="I42" s="465">
        <v>4.6116548595052418</v>
      </c>
      <c r="J42" s="465">
        <v>8.0858772921827722</v>
      </c>
      <c r="K42" s="465">
        <v>7.100405709222195</v>
      </c>
      <c r="L42" s="465">
        <v>4.8071153441976637</v>
      </c>
      <c r="M42" s="465">
        <v>7.1222851210538591</v>
      </c>
      <c r="N42" s="465">
        <v>8.585455922263499</v>
      </c>
      <c r="O42" s="465">
        <v>9.3630926784669501</v>
      </c>
      <c r="P42" s="465">
        <v>9.6794550806798352</v>
      </c>
      <c r="Q42" s="465">
        <v>9.7583326710632985</v>
      </c>
      <c r="R42" s="465">
        <v>9.5838201203731543</v>
      </c>
    </row>
    <row r="43" spans="2:18">
      <c r="B43" s="464" t="s">
        <v>926</v>
      </c>
      <c r="C43" s="464" t="s">
        <v>926</v>
      </c>
      <c r="D43" s="465">
        <v>20.768956747497494</v>
      </c>
      <c r="E43" s="465">
        <v>20.955068105321114</v>
      </c>
      <c r="F43" s="465">
        <v>21.626014700762205</v>
      </c>
      <c r="G43" s="465">
        <v>20.77453978415009</v>
      </c>
      <c r="H43" s="465">
        <v>18.743183748294751</v>
      </c>
      <c r="I43" s="465">
        <v>17.251992088972376</v>
      </c>
      <c r="J43" s="465">
        <v>20.465482148375319</v>
      </c>
      <c r="K43" s="465">
        <v>21.013532107635669</v>
      </c>
      <c r="L43" s="465">
        <v>18.65295774533865</v>
      </c>
      <c r="M43" s="465">
        <v>17.031155226234809</v>
      </c>
      <c r="N43" s="465">
        <v>15.64340962828121</v>
      </c>
      <c r="O43" s="465">
        <v>14.538414466276359</v>
      </c>
      <c r="P43" s="465">
        <v>13.337506584027331</v>
      </c>
      <c r="Q43" s="465">
        <v>12.361905835972928</v>
      </c>
      <c r="R43" s="465">
        <v>11.226988829461893</v>
      </c>
    </row>
    <row r="44" spans="2:18">
      <c r="B44" s="464" t="s">
        <v>97</v>
      </c>
      <c r="C44" s="464" t="s">
        <v>97</v>
      </c>
      <c r="D44" s="465">
        <v>77.876474841732488</v>
      </c>
      <c r="E44" s="465">
        <v>78.157239101758563</v>
      </c>
      <c r="F44" s="465">
        <v>77.6053146322934</v>
      </c>
      <c r="G44" s="465">
        <v>76.15471979004397</v>
      </c>
      <c r="H44" s="465">
        <v>75.396470768189644</v>
      </c>
      <c r="I44" s="465">
        <v>74.617843159330008</v>
      </c>
      <c r="J44" s="465">
        <v>94.50351563381389</v>
      </c>
      <c r="K44" s="465">
        <v>96.735320151450537</v>
      </c>
      <c r="L44" s="465">
        <v>91.859093837412431</v>
      </c>
      <c r="M44" s="465">
        <v>95.097090815730439</v>
      </c>
      <c r="N44" s="465">
        <v>98.203954568483269</v>
      </c>
      <c r="O44" s="465">
        <v>100.9619828513666</v>
      </c>
      <c r="P44" s="465">
        <v>100.87193877751766</v>
      </c>
      <c r="Q44" s="465">
        <v>101.16069857265511</v>
      </c>
      <c r="R44" s="465">
        <v>101.23385292375301</v>
      </c>
    </row>
    <row r="45" spans="2:18" ht="13.5">
      <c r="B45" s="466" t="s">
        <v>98</v>
      </c>
      <c r="C45" s="466" t="s">
        <v>99</v>
      </c>
      <c r="D45" s="467">
        <v>81.053093399541609</v>
      </c>
      <c r="E45" s="467">
        <v>80.874578607905903</v>
      </c>
      <c r="F45" s="467">
        <v>81.848949724794196</v>
      </c>
      <c r="G45" s="467">
        <v>80.418722259444948</v>
      </c>
      <c r="H45" s="467">
        <v>81.131243128464675</v>
      </c>
      <c r="I45" s="467">
        <v>83.055107467161193</v>
      </c>
      <c r="J45" s="467">
        <v>98.331768789365853</v>
      </c>
      <c r="K45" s="467">
        <v>98.328137481865269</v>
      </c>
      <c r="L45" s="467">
        <v>94.163820203390785</v>
      </c>
      <c r="M45" s="467">
        <v>95.462424168266097</v>
      </c>
      <c r="N45" s="467">
        <v>99.84251999770666</v>
      </c>
      <c r="O45" s="467">
        <v>103.05825771279204</v>
      </c>
      <c r="P45" s="467">
        <v>105.69646094722313</v>
      </c>
      <c r="Q45" s="467">
        <v>108.03265349986842</v>
      </c>
      <c r="R45" s="467">
        <v>110.48891890918904</v>
      </c>
    </row>
    <row r="46" spans="2:18" ht="6" customHeight="1">
      <c r="B46" s="464"/>
      <c r="C46" s="464"/>
      <c r="D46" s="465"/>
      <c r="E46" s="465"/>
      <c r="F46" s="465"/>
      <c r="G46" s="465"/>
      <c r="H46" s="465"/>
      <c r="I46" s="465"/>
      <c r="J46" s="465"/>
      <c r="K46" s="465"/>
      <c r="L46" s="465"/>
      <c r="M46" s="465"/>
      <c r="N46" s="465"/>
      <c r="O46" s="465"/>
      <c r="P46" s="465"/>
      <c r="Q46" s="465"/>
      <c r="R46" s="465"/>
    </row>
    <row r="47" spans="2:18" ht="10.5" customHeight="1">
      <c r="B47" s="613" t="s">
        <v>927</v>
      </c>
      <c r="C47" s="613"/>
      <c r="D47" s="613"/>
      <c r="E47" s="613"/>
      <c r="F47" s="613"/>
      <c r="G47" s="613"/>
      <c r="H47" s="613"/>
      <c r="I47" s="613"/>
      <c r="J47" s="613"/>
      <c r="K47" s="613"/>
      <c r="L47" s="613"/>
      <c r="M47" s="613"/>
      <c r="N47" s="613"/>
      <c r="O47" s="613"/>
      <c r="P47" s="613"/>
      <c r="Q47" s="469"/>
      <c r="R47" s="469"/>
    </row>
    <row r="48" spans="2:18" ht="14.45" customHeight="1">
      <c r="B48" s="464" t="s">
        <v>960</v>
      </c>
      <c r="C48" s="488"/>
      <c r="D48" s="469"/>
      <c r="E48" s="469"/>
      <c r="F48" s="469"/>
      <c r="G48" s="469"/>
      <c r="H48" s="469"/>
      <c r="I48" s="469"/>
      <c r="J48" s="469"/>
      <c r="K48" s="469"/>
      <c r="L48" s="469"/>
      <c r="M48" s="469"/>
      <c r="N48" s="469"/>
      <c r="O48" s="469"/>
      <c r="P48" s="469"/>
      <c r="Q48" s="469"/>
      <c r="R48" s="469"/>
    </row>
    <row r="49" spans="2:18" ht="39" customHeight="1">
      <c r="B49" s="615" t="s">
        <v>954</v>
      </c>
      <c r="C49" s="615"/>
      <c r="D49" s="615"/>
      <c r="E49" s="615"/>
      <c r="F49" s="615"/>
      <c r="G49" s="615"/>
      <c r="H49" s="615"/>
      <c r="I49" s="615"/>
      <c r="J49" s="615"/>
      <c r="K49" s="615"/>
      <c r="L49" s="615"/>
      <c r="M49" s="615"/>
      <c r="N49" s="615"/>
      <c r="O49" s="615"/>
      <c r="P49" s="615"/>
      <c r="Q49" s="615"/>
      <c r="R49" s="615"/>
    </row>
    <row r="50" spans="2:18" ht="27" customHeight="1">
      <c r="B50" s="615" t="s">
        <v>961</v>
      </c>
      <c r="C50" s="615"/>
      <c r="D50" s="615"/>
      <c r="E50" s="615"/>
      <c r="F50" s="615"/>
      <c r="G50" s="615"/>
      <c r="H50" s="615"/>
      <c r="I50" s="615"/>
      <c r="J50" s="615"/>
      <c r="K50" s="615"/>
      <c r="L50" s="615"/>
      <c r="M50" s="615"/>
      <c r="N50" s="615"/>
      <c r="O50" s="615"/>
      <c r="P50" s="615"/>
      <c r="Q50" s="615"/>
      <c r="R50" s="615"/>
    </row>
    <row r="51" spans="2:18" ht="25.9" customHeight="1">
      <c r="B51" s="615" t="s">
        <v>962</v>
      </c>
      <c r="C51" s="615"/>
      <c r="D51" s="615"/>
      <c r="E51" s="615"/>
      <c r="F51" s="615"/>
      <c r="G51" s="615"/>
      <c r="H51" s="615"/>
      <c r="I51" s="615"/>
      <c r="J51" s="615"/>
      <c r="K51" s="615"/>
      <c r="L51" s="615"/>
      <c r="M51" s="615"/>
      <c r="N51" s="615"/>
      <c r="O51" s="615"/>
      <c r="P51" s="615"/>
      <c r="Q51" s="615"/>
      <c r="R51" s="615"/>
    </row>
    <row r="52" spans="2:18" ht="15.75" customHeight="1">
      <c r="B52" s="615" t="s">
        <v>963</v>
      </c>
      <c r="C52" s="615"/>
      <c r="D52" s="615"/>
      <c r="E52" s="615"/>
      <c r="F52" s="615"/>
      <c r="G52" s="615"/>
      <c r="H52" s="615"/>
      <c r="I52" s="615"/>
      <c r="J52" s="615"/>
      <c r="K52" s="615"/>
      <c r="L52" s="615"/>
      <c r="M52" s="615"/>
      <c r="N52" s="615"/>
      <c r="O52" s="615"/>
      <c r="P52" s="615"/>
      <c r="Q52" s="615"/>
      <c r="R52" s="615"/>
    </row>
    <row r="53" spans="2:18" ht="12" customHeight="1">
      <c r="B53" s="615" t="s">
        <v>964</v>
      </c>
      <c r="C53" s="615"/>
      <c r="D53" s="615"/>
      <c r="E53" s="615"/>
      <c r="F53" s="615"/>
      <c r="G53" s="615"/>
      <c r="H53" s="615"/>
      <c r="I53" s="615"/>
      <c r="J53" s="615"/>
      <c r="K53" s="615"/>
      <c r="L53" s="615"/>
      <c r="M53" s="615"/>
      <c r="N53" s="615"/>
      <c r="O53" s="615"/>
      <c r="P53" s="615"/>
      <c r="Q53" s="615"/>
      <c r="R53" s="615"/>
    </row>
    <row r="54" spans="2:18" ht="14.45" customHeight="1">
      <c r="B54" s="613" t="s">
        <v>965</v>
      </c>
      <c r="C54" s="613"/>
      <c r="D54" s="613"/>
      <c r="E54" s="613"/>
      <c r="F54" s="613"/>
      <c r="G54" s="613"/>
      <c r="H54" s="613"/>
      <c r="I54" s="613"/>
      <c r="J54" s="613"/>
      <c r="K54" s="613"/>
      <c r="L54" s="613"/>
      <c r="M54" s="613"/>
      <c r="N54" s="613"/>
      <c r="O54" s="613"/>
      <c r="P54" s="613"/>
      <c r="Q54" s="613"/>
      <c r="R54" s="613"/>
    </row>
    <row r="55" spans="2:18" ht="14.45" customHeight="1">
      <c r="B55" s="613"/>
      <c r="C55" s="613"/>
      <c r="D55" s="613"/>
      <c r="E55" s="613"/>
      <c r="F55" s="613"/>
      <c r="G55" s="613"/>
      <c r="H55" s="613"/>
      <c r="I55" s="613"/>
      <c r="J55" s="613"/>
      <c r="K55" s="613"/>
      <c r="L55" s="613"/>
      <c r="M55" s="613"/>
      <c r="N55" s="613"/>
      <c r="O55" s="613"/>
      <c r="P55" s="613"/>
      <c r="Q55" s="613"/>
      <c r="R55" s="613"/>
    </row>
    <row r="56" spans="2:18" ht="15" customHeight="1">
      <c r="B56" s="615"/>
      <c r="C56" s="615"/>
      <c r="D56" s="615"/>
      <c r="E56" s="615"/>
      <c r="F56" s="615"/>
      <c r="G56" s="615"/>
      <c r="H56" s="615"/>
      <c r="I56" s="615"/>
      <c r="J56" s="615"/>
      <c r="K56" s="615"/>
      <c r="L56" s="615"/>
      <c r="M56" s="615"/>
      <c r="N56" s="615"/>
      <c r="O56" s="615"/>
      <c r="P56" s="615"/>
      <c r="Q56" s="615"/>
      <c r="R56" s="615"/>
    </row>
    <row r="57" spans="2:18" ht="21.6" customHeight="1">
      <c r="B57" s="615"/>
      <c r="C57" s="615"/>
      <c r="D57" s="615"/>
      <c r="E57" s="615"/>
      <c r="F57" s="615"/>
      <c r="G57" s="615"/>
      <c r="H57" s="615"/>
      <c r="I57" s="615"/>
      <c r="J57" s="615"/>
      <c r="K57" s="615"/>
      <c r="L57" s="615"/>
      <c r="M57" s="615"/>
      <c r="N57" s="615"/>
      <c r="O57" s="615"/>
      <c r="P57" s="615"/>
      <c r="Q57" s="615"/>
      <c r="R57" s="615"/>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row r="78" spans="2:18">
      <c r="B78" s="464"/>
      <c r="C78" s="464"/>
      <c r="D78" s="469"/>
      <c r="E78" s="469"/>
      <c r="F78" s="469"/>
      <c r="G78" s="469"/>
      <c r="H78" s="469"/>
      <c r="I78" s="469"/>
      <c r="J78" s="469"/>
      <c r="K78" s="469"/>
      <c r="L78" s="469"/>
      <c r="M78" s="469"/>
      <c r="N78" s="469"/>
      <c r="O78" s="469"/>
      <c r="P78" s="469"/>
      <c r="Q78" s="469"/>
      <c r="R78" s="469"/>
    </row>
    <row r="79" spans="2:18">
      <c r="B79" s="464"/>
      <c r="C79" s="464"/>
      <c r="D79" s="469"/>
      <c r="E79" s="469"/>
      <c r="F79" s="469"/>
      <c r="G79" s="469"/>
      <c r="H79" s="469"/>
      <c r="I79" s="469"/>
      <c r="J79" s="469"/>
      <c r="K79" s="469"/>
      <c r="L79" s="469"/>
      <c r="M79" s="469"/>
      <c r="N79" s="469"/>
      <c r="O79" s="469"/>
      <c r="P79" s="469"/>
      <c r="Q79" s="469"/>
      <c r="R79" s="469"/>
    </row>
    <row r="80" spans="2:18">
      <c r="B80" s="464"/>
      <c r="C80" s="464"/>
      <c r="D80" s="469"/>
      <c r="E80" s="469"/>
      <c r="F80" s="469"/>
      <c r="G80" s="469"/>
      <c r="H80" s="469"/>
      <c r="I80" s="469"/>
      <c r="J80" s="469"/>
      <c r="K80" s="469"/>
      <c r="L80" s="469"/>
      <c r="M80" s="469"/>
      <c r="N80" s="469"/>
      <c r="O80" s="469"/>
      <c r="P80" s="469"/>
      <c r="Q80" s="469"/>
      <c r="R80" s="469"/>
    </row>
  </sheetData>
  <mergeCells count="9">
    <mergeCell ref="B53:R53"/>
    <mergeCell ref="B54:R55"/>
    <mergeCell ref="B56:R57"/>
    <mergeCell ref="B2:N2"/>
    <mergeCell ref="B47:P47"/>
    <mergeCell ref="B49:R49"/>
    <mergeCell ref="B50:R50"/>
    <mergeCell ref="B51:R51"/>
    <mergeCell ref="B52:R52"/>
  </mergeCells>
  <conditionalFormatting sqref="B9:R45">
    <cfRule type="expression" dxfId="36" priority="1">
      <formula>MOD(ROW(),2)=0</formula>
    </cfRule>
  </conditionalFormatting>
  <pageMargins left="0.7" right="0.7" top="0.75" bottom="0.75" header="0.3" footer="0.3"/>
  <pageSetup scale="1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90E91-F7D4-4888-A9C8-A43A1C9F4F51}">
  <sheetPr codeName="Sheet12">
    <pageSetUpPr fitToPage="1"/>
  </sheetPr>
  <dimension ref="B1:AB74"/>
  <sheetViews>
    <sheetView showGridLines="0" zoomScale="115" zoomScaleNormal="115" workbookViewId="0">
      <pane xSplit="3" ySplit="4" topLeftCell="G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43.7109375" style="451" hidden="1" customWidth="1" outlineLevel="1"/>
    <col min="4" max="4" width="9.28515625" style="452" customWidth="1" collapsed="1"/>
    <col min="5" max="18" width="9.28515625" style="452" customWidth="1"/>
    <col min="19" max="19" width="9.140625" style="451"/>
    <col min="20" max="20" width="0" style="451" hidden="1" customWidth="1"/>
    <col min="21" max="16384" width="9.140625" style="451"/>
  </cols>
  <sheetData>
    <row r="1" spans="2:21">
      <c r="U1" s="489"/>
    </row>
    <row r="2" spans="2:21" ht="13.9" customHeight="1">
      <c r="B2" s="616" t="str">
        <f>"Table A9. Emerging Market and Middle-Income Economies: General Government Overall Balance, "&amp;D4&amp;"–"&amp;RIGHT(R4,2)</f>
        <v>Table A9. Emerging Market and Middle-Income Economies: General Government Overall Balance, 2014–28</v>
      </c>
      <c r="C2" s="616"/>
      <c r="D2" s="616"/>
      <c r="E2" s="616"/>
      <c r="F2" s="616"/>
      <c r="G2" s="616"/>
      <c r="H2" s="616"/>
      <c r="I2" s="616"/>
      <c r="J2" s="616"/>
      <c r="K2" s="616"/>
      <c r="L2" s="616"/>
      <c r="M2" s="616"/>
      <c r="N2" s="616"/>
      <c r="O2" s="485"/>
      <c r="P2" s="485"/>
      <c r="Q2" s="485"/>
      <c r="R2" s="485"/>
      <c r="T2" s="490" t="s">
        <v>966</v>
      </c>
      <c r="U2" s="489"/>
    </row>
    <row r="3" spans="2:21" ht="15.75">
      <c r="B3" s="486" t="s">
        <v>81</v>
      </c>
      <c r="C3" s="455"/>
      <c r="D3" s="455"/>
      <c r="E3" s="455"/>
      <c r="F3" s="455"/>
      <c r="G3" s="455"/>
      <c r="H3" s="455"/>
      <c r="I3" s="455"/>
      <c r="J3" s="455"/>
      <c r="K3" s="455"/>
      <c r="L3" s="455"/>
      <c r="M3" s="455"/>
      <c r="N3" s="455"/>
      <c r="O3" s="455"/>
      <c r="P3" s="455"/>
      <c r="Q3" s="455"/>
      <c r="R3" s="455"/>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196</v>
      </c>
      <c r="C5" s="491" t="s">
        <v>967</v>
      </c>
      <c r="D5" s="461">
        <v>-2.3696876755790028</v>
      </c>
      <c r="E5" s="461">
        <v>-4.1720672352358203</v>
      </c>
      <c r="F5" s="461">
        <v>-4.5261787164745568</v>
      </c>
      <c r="G5" s="461">
        <v>-3.8438796345927813</v>
      </c>
      <c r="H5" s="461">
        <v>-3.5396017694414001</v>
      </c>
      <c r="I5" s="461">
        <v>-4.550495031711538</v>
      </c>
      <c r="J5" s="461">
        <v>-8.8899800333748367</v>
      </c>
      <c r="K5" s="461">
        <v>-5.2346727748972848</v>
      </c>
      <c r="L5" s="461">
        <v>-5.2974830364014256</v>
      </c>
      <c r="M5" s="461">
        <v>-5.8605357582216033</v>
      </c>
      <c r="N5" s="461">
        <v>-5.3509678769183893</v>
      </c>
      <c r="O5" s="461">
        <v>-5.1393934249155846</v>
      </c>
      <c r="P5" s="461">
        <v>-4.9351138842788149</v>
      </c>
      <c r="Q5" s="461">
        <v>-4.8163009540019788</v>
      </c>
      <c r="R5" s="461">
        <v>-4.7379809347849928</v>
      </c>
    </row>
    <row r="6" spans="2:21" ht="14.1" customHeight="1">
      <c r="B6" s="492" t="s">
        <v>108</v>
      </c>
      <c r="C6" s="491" t="s">
        <v>109</v>
      </c>
      <c r="D6" s="461">
        <v>-1.7098719861384994</v>
      </c>
      <c r="E6" s="461">
        <v>-3.0974888966451841</v>
      </c>
      <c r="F6" s="461">
        <v>-3.7476590671579415</v>
      </c>
      <c r="G6" s="461">
        <v>-3.6524594236854053</v>
      </c>
      <c r="H6" s="461">
        <v>-4.2445629774169458</v>
      </c>
      <c r="I6" s="461">
        <v>-5.7987161026107419</v>
      </c>
      <c r="J6" s="461">
        <v>-9.6773707864415428</v>
      </c>
      <c r="K6" s="461">
        <v>-6.4954175672043082</v>
      </c>
      <c r="L6" s="461">
        <v>-7.4254128887383182</v>
      </c>
      <c r="M6" s="461">
        <v>-6.7732484655727836</v>
      </c>
      <c r="N6" s="461">
        <v>-6.3203489225012301</v>
      </c>
      <c r="O6" s="461">
        <v>-6.1875266236901574</v>
      </c>
      <c r="P6" s="461">
        <v>-6.049284938984421</v>
      </c>
      <c r="Q6" s="461">
        <v>-5.9423192973028387</v>
      </c>
      <c r="R6" s="461">
        <v>-5.8766042572745851</v>
      </c>
    </row>
    <row r="7" spans="2:21" ht="14.1" customHeight="1">
      <c r="B7" s="492" t="s">
        <v>113</v>
      </c>
      <c r="C7" s="491" t="s">
        <v>114</v>
      </c>
      <c r="D7" s="461">
        <v>-1.5002693157279892</v>
      </c>
      <c r="E7" s="461">
        <v>-2.6926613946044329</v>
      </c>
      <c r="F7" s="461">
        <v>-2.8173786395872469</v>
      </c>
      <c r="G7" s="461">
        <v>-1.8019496839045392</v>
      </c>
      <c r="H7" s="461">
        <v>0.31276718098832196</v>
      </c>
      <c r="I7" s="461">
        <v>-0.5650176232485048</v>
      </c>
      <c r="J7" s="461">
        <v>-5.4674883938400471</v>
      </c>
      <c r="K7" s="461">
        <v>-1.883968961431262</v>
      </c>
      <c r="L7" s="461">
        <v>-2.7817475310727606</v>
      </c>
      <c r="M7" s="461">
        <v>-5.7563593847009642</v>
      </c>
      <c r="N7" s="461">
        <v>-3.9560308217134077</v>
      </c>
      <c r="O7" s="461">
        <v>-3.4516451209184806</v>
      </c>
      <c r="P7" s="461">
        <v>-2.9489768342149434</v>
      </c>
      <c r="Q7" s="461">
        <v>-2.7272526725471358</v>
      </c>
      <c r="R7" s="461">
        <v>-2.4227034941703915</v>
      </c>
    </row>
    <row r="8" spans="2:21" ht="14.1" customHeight="1">
      <c r="B8" s="492" t="s">
        <v>117</v>
      </c>
      <c r="C8" s="491" t="s">
        <v>118</v>
      </c>
      <c r="D8" s="461">
        <v>-4.7769568868680521</v>
      </c>
      <c r="E8" s="461">
        <v>-6.3445376026277511</v>
      </c>
      <c r="F8" s="461">
        <v>-5.7842037827837647</v>
      </c>
      <c r="G8" s="461">
        <v>-5.1150717595052058</v>
      </c>
      <c r="H8" s="461">
        <v>-5.0146696137335969</v>
      </c>
      <c r="I8" s="461">
        <v>-4.0794423044425612</v>
      </c>
      <c r="J8" s="461">
        <v>-8.8225483597017398</v>
      </c>
      <c r="K8" s="461">
        <v>-4.4775921573063213</v>
      </c>
      <c r="L8" s="461">
        <v>-3.9054797495505746</v>
      </c>
      <c r="M8" s="461">
        <v>-5.2085452896640074</v>
      </c>
      <c r="N8" s="461">
        <v>-4.4335318969507638</v>
      </c>
      <c r="O8" s="461">
        <v>-3.6822791488261575</v>
      </c>
      <c r="P8" s="461">
        <v>-3.2326381562037305</v>
      </c>
      <c r="Q8" s="461">
        <v>-2.9571392580497968</v>
      </c>
      <c r="R8" s="461">
        <v>-2.741737829290102</v>
      </c>
    </row>
    <row r="9" spans="2:21" ht="14.1" customHeight="1">
      <c r="B9" s="492" t="s">
        <v>121</v>
      </c>
      <c r="C9" s="491" t="s">
        <v>122</v>
      </c>
      <c r="D9" s="461">
        <v>-1.7125846776779978</v>
      </c>
      <c r="E9" s="461">
        <v>-7.9162177338393445</v>
      </c>
      <c r="F9" s="461">
        <v>-8.8924154307028012</v>
      </c>
      <c r="G9" s="461">
        <v>-5.0869874367457033</v>
      </c>
      <c r="H9" s="461">
        <v>-1.668827744468296</v>
      </c>
      <c r="I9" s="461">
        <v>-2.5143623660410404</v>
      </c>
      <c r="J9" s="461">
        <v>-8.5298341701613669</v>
      </c>
      <c r="K9" s="461">
        <v>-2.068011693311111</v>
      </c>
      <c r="L9" s="461">
        <v>2.5991311047295089</v>
      </c>
      <c r="M9" s="461">
        <v>-0.95864879407604575</v>
      </c>
      <c r="N9" s="461">
        <v>-1.677570993021666</v>
      </c>
      <c r="O9" s="461">
        <v>-1.9800664056929536</v>
      </c>
      <c r="P9" s="461">
        <v>-1.9362719642530142</v>
      </c>
      <c r="Q9" s="461">
        <v>-1.9129280765240191</v>
      </c>
      <c r="R9" s="461">
        <v>-2.0565026838564036</v>
      </c>
    </row>
    <row r="10" spans="2:21" ht="14.1" customHeight="1">
      <c r="B10" s="493" t="s">
        <v>968</v>
      </c>
      <c r="C10" s="491" t="s">
        <v>103</v>
      </c>
      <c r="D10" s="461">
        <v>-2.472066532093681</v>
      </c>
      <c r="E10" s="461">
        <v>-4.3082137575664259</v>
      </c>
      <c r="F10" s="461">
        <v>-4.5938345627374266</v>
      </c>
      <c r="G10" s="461">
        <v>-4.0485913104088027</v>
      </c>
      <c r="H10" s="461">
        <v>-4.0721819434798929</v>
      </c>
      <c r="I10" s="461">
        <v>-5.2108899052658062</v>
      </c>
      <c r="J10" s="461">
        <v>-9.417108147050083</v>
      </c>
      <c r="K10" s="461">
        <v>-5.5476405011025545</v>
      </c>
      <c r="L10" s="461">
        <v>-6.2123664459921368</v>
      </c>
      <c r="M10" s="461">
        <v>-6.5989347705061849</v>
      </c>
      <c r="N10" s="461">
        <v>-5.9396667776143897</v>
      </c>
      <c r="O10" s="461">
        <v>-5.6794216748061928</v>
      </c>
      <c r="P10" s="461">
        <v>-5.4468099909899239</v>
      </c>
      <c r="Q10" s="461">
        <v>-5.3155391252280699</v>
      </c>
      <c r="R10" s="461">
        <v>-5.236507077526511</v>
      </c>
    </row>
    <row r="11" spans="2:21" ht="15" customHeight="1">
      <c r="B11" s="464" t="s">
        <v>969</v>
      </c>
      <c r="C11" s="464" t="s">
        <v>969</v>
      </c>
      <c r="D11" s="465">
        <v>-7.9848275541831608</v>
      </c>
      <c r="E11" s="465">
        <v>-15.677587672023515</v>
      </c>
      <c r="F11" s="465">
        <v>-13.38160734472954</v>
      </c>
      <c r="G11" s="465">
        <v>-8.561093256243371</v>
      </c>
      <c r="H11" s="465">
        <v>-6.8451418344080226</v>
      </c>
      <c r="I11" s="465">
        <v>-9.5834754427041222</v>
      </c>
      <c r="J11" s="465">
        <v>-11.898782253018634</v>
      </c>
      <c r="K11" s="465">
        <v>-7.1993224422875732</v>
      </c>
      <c r="L11" s="465">
        <v>2.1539482959979432</v>
      </c>
      <c r="M11" s="465">
        <v>-7.9405883232195666</v>
      </c>
      <c r="N11" s="465">
        <v>-7.8298612730769284</v>
      </c>
      <c r="O11" s="465">
        <v>-8.0432921279325829</v>
      </c>
      <c r="P11" s="465">
        <v>-8.0254420701445515</v>
      </c>
      <c r="Q11" s="465">
        <v>-8.103355499065982</v>
      </c>
      <c r="R11" s="465">
        <v>-8.1316231109220531</v>
      </c>
    </row>
    <row r="12" spans="2:21" ht="13.5" customHeight="1">
      <c r="B12" s="464" t="s">
        <v>970</v>
      </c>
      <c r="C12" s="464" t="s">
        <v>970</v>
      </c>
      <c r="D12" s="465">
        <v>-5.7203498475001036</v>
      </c>
      <c r="E12" s="465">
        <v>-2.9172408297489238</v>
      </c>
      <c r="F12" s="465">
        <v>-4.5202038391888575</v>
      </c>
      <c r="G12" s="465">
        <v>-6.5863172401537771</v>
      </c>
      <c r="H12" s="465">
        <v>2.2869378012920083</v>
      </c>
      <c r="I12" s="465">
        <v>0.77583496463204371</v>
      </c>
      <c r="J12" s="465">
        <v>-1.9312310469355367</v>
      </c>
      <c r="K12" s="465">
        <v>3.8340371098694774</v>
      </c>
      <c r="L12" s="465">
        <v>1.5950494169647338</v>
      </c>
      <c r="M12" s="465">
        <v>-0.18925554602964134</v>
      </c>
      <c r="N12" s="465">
        <v>-1.9200109463844675</v>
      </c>
      <c r="O12" s="465">
        <v>-2.4845817614307797</v>
      </c>
      <c r="P12" s="465">
        <v>-2.9501778888552965</v>
      </c>
      <c r="Q12" s="465">
        <v>-3.3124113373597686</v>
      </c>
      <c r="R12" s="465">
        <v>-3.5102423487641357</v>
      </c>
    </row>
    <row r="13" spans="2:21" ht="13.5" customHeight="1">
      <c r="B13" s="464" t="s">
        <v>971</v>
      </c>
      <c r="C13" s="464" t="s">
        <v>971</v>
      </c>
      <c r="D13" s="465">
        <v>-4.2524290852902995</v>
      </c>
      <c r="E13" s="465">
        <v>-6.0005580309005744</v>
      </c>
      <c r="F13" s="465">
        <v>-6.654668982575215</v>
      </c>
      <c r="G13" s="465">
        <v>-6.6933411315783298</v>
      </c>
      <c r="H13" s="465">
        <v>-5.4411452578468573</v>
      </c>
      <c r="I13" s="465">
        <v>-4.3950524689485002</v>
      </c>
      <c r="J13" s="465">
        <v>-8.5883371326199587</v>
      </c>
      <c r="K13" s="465">
        <v>-4.3270554732798656</v>
      </c>
      <c r="L13" s="465">
        <v>-3.8765284404462927</v>
      </c>
      <c r="M13" s="465">
        <v>-3.7522286438864967</v>
      </c>
      <c r="N13" s="465">
        <v>-3.5961453476386378</v>
      </c>
      <c r="O13" s="465">
        <v>-2.0457559081114582</v>
      </c>
      <c r="P13" s="465">
        <v>-1.6975332460462247</v>
      </c>
      <c r="Q13" s="465">
        <v>-1.3272917685335237</v>
      </c>
      <c r="R13" s="465">
        <v>-1.3402695420187898</v>
      </c>
    </row>
    <row r="14" spans="2:21" ht="13.5" customHeight="1">
      <c r="B14" s="464" t="s">
        <v>972</v>
      </c>
      <c r="C14" s="464" t="s">
        <v>972</v>
      </c>
      <c r="D14" s="465">
        <v>9.211040549262875E-2</v>
      </c>
      <c r="E14" s="465">
        <v>-2.9636391289039556</v>
      </c>
      <c r="F14" s="465">
        <v>-1.6590826831500034</v>
      </c>
      <c r="G14" s="465">
        <v>-0.33652454450950359</v>
      </c>
      <c r="H14" s="465">
        <v>1.8047983766729336</v>
      </c>
      <c r="I14" s="465">
        <v>0.90955169427908866</v>
      </c>
      <c r="J14" s="465">
        <v>-2.8703456084841252</v>
      </c>
      <c r="K14" s="465">
        <v>-1.6984388266205699</v>
      </c>
      <c r="L14" s="465">
        <v>-4.8611671209985898</v>
      </c>
      <c r="M14" s="465">
        <v>-1.8400111658499685</v>
      </c>
      <c r="N14" s="465">
        <v>-0.45532153352738824</v>
      </c>
      <c r="O14" s="465">
        <v>0.5498344312762633</v>
      </c>
      <c r="P14" s="465">
        <v>0.58153672692658254</v>
      </c>
      <c r="Q14" s="465">
        <v>0.66342869876838151</v>
      </c>
      <c r="R14" s="465">
        <v>0.61031706722273582</v>
      </c>
    </row>
    <row r="15" spans="2:21" ht="13.5" customHeight="1">
      <c r="B15" s="464" t="s">
        <v>119</v>
      </c>
      <c r="C15" s="464" t="s">
        <v>119</v>
      </c>
      <c r="D15" s="465">
        <v>-5.9511700175069784</v>
      </c>
      <c r="E15" s="465">
        <v>-10.224444421437754</v>
      </c>
      <c r="F15" s="465">
        <v>-8.9773104747598111</v>
      </c>
      <c r="G15" s="465">
        <v>-7.7657551591979583</v>
      </c>
      <c r="H15" s="465">
        <v>-6.9597243647358074</v>
      </c>
      <c r="I15" s="465">
        <v>-5.8074097946532515</v>
      </c>
      <c r="J15" s="465">
        <v>-13.317606118051192</v>
      </c>
      <c r="K15" s="465">
        <v>-4.3008141613243085</v>
      </c>
      <c r="L15" s="465">
        <v>-4.5748490822378169</v>
      </c>
      <c r="M15" s="465">
        <v>-8.7988213451464521</v>
      </c>
      <c r="N15" s="465">
        <v>-8.1902011134787749</v>
      </c>
      <c r="O15" s="465">
        <v>-6.6022749268108072</v>
      </c>
      <c r="P15" s="465">
        <v>-5.5381377665554705</v>
      </c>
      <c r="Q15" s="465">
        <v>-4.8999466794279742</v>
      </c>
      <c r="R15" s="465">
        <v>-4.3522756287282105</v>
      </c>
    </row>
    <row r="16" spans="2:21" ht="13.5" customHeight="1">
      <c r="B16" s="464" t="s">
        <v>427</v>
      </c>
      <c r="C16" s="464" t="s">
        <v>427</v>
      </c>
      <c r="D16" s="465">
        <v>-3.651737302829134</v>
      </c>
      <c r="E16" s="465">
        <v>-2.773706163271652</v>
      </c>
      <c r="F16" s="465">
        <v>1.5390227165305204</v>
      </c>
      <c r="G16" s="465">
        <v>0.82298064061134402</v>
      </c>
      <c r="H16" s="465">
        <v>0.12289867813651237</v>
      </c>
      <c r="I16" s="465">
        <v>-0.95720954894577337</v>
      </c>
      <c r="J16" s="465">
        <v>-2.9294960256362406</v>
      </c>
      <c r="K16" s="465">
        <v>-2.812987883880516</v>
      </c>
      <c r="L16" s="465">
        <v>-0.814644520912579</v>
      </c>
      <c r="M16" s="465">
        <v>-3.2838889197435188</v>
      </c>
      <c r="N16" s="465">
        <v>-3.0304101209184648</v>
      </c>
      <c r="O16" s="465">
        <v>-2.9591112584862911</v>
      </c>
      <c r="P16" s="465">
        <v>-2.297249377911339</v>
      </c>
      <c r="Q16" s="465">
        <v>-2.2479846446313299</v>
      </c>
      <c r="R16" s="465">
        <v>-2.204700178667558</v>
      </c>
    </row>
    <row r="17" spans="2:18" ht="13.5" customHeight="1">
      <c r="B17" s="464" t="s">
        <v>973</v>
      </c>
      <c r="C17" s="464" t="s">
        <v>973</v>
      </c>
      <c r="D17" s="465">
        <v>-1.4963697992949585</v>
      </c>
      <c r="E17" s="465">
        <v>-2.0885125998821428</v>
      </c>
      <c r="F17" s="465">
        <v>-2.6606163750314304</v>
      </c>
      <c r="G17" s="465">
        <v>-2.6275310978379331</v>
      </c>
      <c r="H17" s="465">
        <v>-1.4822225218354874</v>
      </c>
      <c r="I17" s="465">
        <v>-2.7274323703623824</v>
      </c>
      <c r="J17" s="465">
        <v>-7.0883792472420106</v>
      </c>
      <c r="K17" s="465">
        <v>-7.4883480157430622</v>
      </c>
      <c r="L17" s="465">
        <v>1.3340851086810632</v>
      </c>
      <c r="M17" s="465">
        <v>-1.8442363231094165</v>
      </c>
      <c r="N17" s="465">
        <v>-1.2020672385592279</v>
      </c>
      <c r="O17" s="465">
        <v>-0.67920400375666379</v>
      </c>
      <c r="P17" s="465">
        <v>-0.3205735289045995</v>
      </c>
      <c r="Q17" s="465">
        <v>-4.236135898880386E-2</v>
      </c>
      <c r="R17" s="465">
        <v>0.24563155311968585</v>
      </c>
    </row>
    <row r="18" spans="2:18" ht="13.5" customHeight="1">
      <c r="B18" s="464" t="s">
        <v>974</v>
      </c>
      <c r="C18" s="464" t="s">
        <v>111</v>
      </c>
      <c r="D18" s="465">
        <v>-0.68302474977479188</v>
      </c>
      <c r="E18" s="465">
        <v>-2.543527959371235</v>
      </c>
      <c r="F18" s="465">
        <v>-3.3919119384562775</v>
      </c>
      <c r="G18" s="465">
        <v>-3.4034717797703244</v>
      </c>
      <c r="H18" s="465">
        <v>-4.2834925262624086</v>
      </c>
      <c r="I18" s="465">
        <v>-6.1018803244846902</v>
      </c>
      <c r="J18" s="465">
        <v>-9.7181182663532635</v>
      </c>
      <c r="K18" s="465">
        <v>-6.0450420069325839</v>
      </c>
      <c r="L18" s="465">
        <v>-7.5435381298688764</v>
      </c>
      <c r="M18" s="465">
        <v>-6.8777530897909847</v>
      </c>
      <c r="N18" s="465">
        <v>-6.3970026829274316</v>
      </c>
      <c r="O18" s="465">
        <v>-6.3190719547026957</v>
      </c>
      <c r="P18" s="465">
        <v>-6.1887074604720036</v>
      </c>
      <c r="Q18" s="465">
        <v>-6.0647272984262619</v>
      </c>
      <c r="R18" s="465">
        <v>-6.0056795746682905</v>
      </c>
    </row>
    <row r="19" spans="2:18" ht="13.5" customHeight="1">
      <c r="B19" s="464" t="s">
        <v>480</v>
      </c>
      <c r="C19" s="464" t="s">
        <v>480</v>
      </c>
      <c r="D19" s="465">
        <v>-1.7440770290073575</v>
      </c>
      <c r="E19" s="465">
        <v>-3.5202270993165077</v>
      </c>
      <c r="F19" s="465">
        <v>-2.2739569959648382</v>
      </c>
      <c r="G19" s="465">
        <v>-2.4955185342335611</v>
      </c>
      <c r="H19" s="465">
        <v>-4.6676520377459401</v>
      </c>
      <c r="I19" s="465">
        <v>-3.4817774277162408</v>
      </c>
      <c r="J19" s="465">
        <v>-6.981789428917395</v>
      </c>
      <c r="K19" s="465">
        <v>-7.2243388321229656</v>
      </c>
      <c r="L19" s="465">
        <v>-6.6752448488106548</v>
      </c>
      <c r="M19" s="465">
        <v>-4.0165132985941314</v>
      </c>
      <c r="N19" s="465">
        <v>-2.0511664436714163</v>
      </c>
      <c r="O19" s="465">
        <v>-2.4465704198405285</v>
      </c>
      <c r="P19" s="465">
        <v>-2.5229677721275992</v>
      </c>
      <c r="Q19" s="465">
        <v>-2.4431709243290509</v>
      </c>
      <c r="R19" s="465">
        <v>-2.1261382310110344</v>
      </c>
    </row>
    <row r="20" spans="2:18" ht="13.5" customHeight="1">
      <c r="B20" s="464" t="s">
        <v>975</v>
      </c>
      <c r="C20" s="464" t="s">
        <v>975</v>
      </c>
      <c r="D20" s="465">
        <v>-2.7527326199288238</v>
      </c>
      <c r="E20" s="465">
        <v>-3.2990253391541345E-2</v>
      </c>
      <c r="F20" s="465">
        <v>-3.1032312632484369</v>
      </c>
      <c r="G20" s="465">
        <v>-3.0875165647140053</v>
      </c>
      <c r="H20" s="465">
        <v>-2.1603910217782643</v>
      </c>
      <c r="I20" s="465">
        <v>-2.1951436374617885</v>
      </c>
      <c r="J20" s="465">
        <v>-7.9050629143446098</v>
      </c>
      <c r="K20" s="465">
        <v>-2.9305950901459576</v>
      </c>
      <c r="L20" s="465">
        <v>-3.3396495125444128</v>
      </c>
      <c r="M20" s="465">
        <v>-3.0230205728915811</v>
      </c>
      <c r="N20" s="465">
        <v>-2.8120044958141839</v>
      </c>
      <c r="O20" s="465">
        <v>-2.578791863614271</v>
      </c>
      <c r="P20" s="465">
        <v>-2.5179177563638495</v>
      </c>
      <c r="Q20" s="465">
        <v>-2.4690100647470432</v>
      </c>
      <c r="R20" s="465">
        <v>-2.4563937439871317</v>
      </c>
    </row>
    <row r="21" spans="2:18" ht="13.5" customHeight="1">
      <c r="B21" s="464" t="s">
        <v>976</v>
      </c>
      <c r="C21" s="464" t="s">
        <v>977</v>
      </c>
      <c r="D21" s="465">
        <v>-8.4402558047488228</v>
      </c>
      <c r="E21" s="465">
        <v>-7.1869825141263197</v>
      </c>
      <c r="F21" s="465">
        <v>-10.13067543160691</v>
      </c>
      <c r="G21" s="465">
        <v>-5.7857038092654163</v>
      </c>
      <c r="H21" s="465">
        <v>-2.8036992548126283</v>
      </c>
      <c r="I21" s="465">
        <v>-3.452584763337839</v>
      </c>
      <c r="J21" s="465">
        <v>-7.1287581667473106</v>
      </c>
      <c r="K21" s="465">
        <v>-1.6074613583490165</v>
      </c>
      <c r="L21" s="465">
        <v>7.3871322472721448E-2</v>
      </c>
      <c r="M21" s="465" t="s">
        <v>145</v>
      </c>
      <c r="N21" s="465" t="s">
        <v>145</v>
      </c>
      <c r="O21" s="465" t="s">
        <v>145</v>
      </c>
      <c r="P21" s="465" t="s">
        <v>145</v>
      </c>
      <c r="Q21" s="465" t="s">
        <v>145</v>
      </c>
      <c r="R21" s="465" t="s">
        <v>145</v>
      </c>
    </row>
    <row r="22" spans="2:18" ht="13.15" customHeight="1">
      <c r="B22" s="464" t="s">
        <v>978</v>
      </c>
      <c r="C22" s="464" t="s">
        <v>978</v>
      </c>
      <c r="D22" s="465">
        <v>-10.722663551269356</v>
      </c>
      <c r="E22" s="465">
        <v>-10.37048172780735</v>
      </c>
      <c r="F22" s="465">
        <v>-11.79615210028283</v>
      </c>
      <c r="G22" s="465">
        <v>-9.8983806996909109</v>
      </c>
      <c r="H22" s="465">
        <v>-8.9747331876044747</v>
      </c>
      <c r="I22" s="465">
        <v>-7.5953431022158675</v>
      </c>
      <c r="J22" s="465">
        <v>-7.4686262718200433</v>
      </c>
      <c r="K22" s="465">
        <v>-6.9552985847428372</v>
      </c>
      <c r="L22" s="465">
        <v>-5.7786254383168627</v>
      </c>
      <c r="M22" s="465">
        <v>-7.5653402116894561</v>
      </c>
      <c r="N22" s="465">
        <v>-9.2171743611722139</v>
      </c>
      <c r="O22" s="465">
        <v>-8.5495821189296315</v>
      </c>
      <c r="P22" s="465">
        <v>-6.9149622484374378</v>
      </c>
      <c r="Q22" s="465">
        <v>-5.6892769100197897</v>
      </c>
      <c r="R22" s="465">
        <v>-4.9602381752025</v>
      </c>
    </row>
    <row r="23" spans="2:18" ht="13.9" customHeight="1">
      <c r="B23" s="464" t="s">
        <v>450</v>
      </c>
      <c r="C23" s="464" t="s">
        <v>450</v>
      </c>
      <c r="D23" s="465">
        <v>-2.7748411226474299</v>
      </c>
      <c r="E23" s="465">
        <v>-2.0039966580498167</v>
      </c>
      <c r="F23" s="465">
        <v>-1.7968525464344052</v>
      </c>
      <c r="G23" s="465">
        <v>-2.4590899442102212</v>
      </c>
      <c r="H23" s="465">
        <v>-2.1123026125562059</v>
      </c>
      <c r="I23" s="465">
        <v>-2.0312499803314497</v>
      </c>
      <c r="J23" s="465">
        <v>-7.5362497202630134</v>
      </c>
      <c r="K23" s="465">
        <v>-7.1436551911009127</v>
      </c>
      <c r="L23" s="465">
        <v>-6.0847432899600822</v>
      </c>
      <c r="M23" s="465">
        <v>-3.9034051375108043</v>
      </c>
      <c r="N23" s="465">
        <v>-2.5438490801229441</v>
      </c>
      <c r="O23" s="465">
        <v>-2.9169651205593925</v>
      </c>
      <c r="P23" s="465">
        <v>-2.2277808358915885</v>
      </c>
      <c r="Q23" s="465">
        <v>-2.1144398118556627</v>
      </c>
      <c r="R23" s="465">
        <v>-1.1110758301169648</v>
      </c>
    </row>
    <row r="24" spans="2:18" ht="13.5" customHeight="1">
      <c r="B24" s="464" t="s">
        <v>112</v>
      </c>
      <c r="C24" s="464" t="s">
        <v>112</v>
      </c>
      <c r="D24" s="465">
        <v>-7.0710685629405283</v>
      </c>
      <c r="E24" s="465">
        <v>-7.2050842042511292</v>
      </c>
      <c r="F24" s="465">
        <v>-7.1200097144993366</v>
      </c>
      <c r="G24" s="465">
        <v>-6.2272356940065681</v>
      </c>
      <c r="H24" s="465">
        <v>-6.3758154589043086</v>
      </c>
      <c r="I24" s="465">
        <v>-7.6940727203449732</v>
      </c>
      <c r="J24" s="465">
        <v>-12.880098769889759</v>
      </c>
      <c r="K24" s="465">
        <v>-9.6456555762260354</v>
      </c>
      <c r="L24" s="465">
        <v>-9.5947113442539074</v>
      </c>
      <c r="M24" s="465">
        <v>-8.8954044932401128</v>
      </c>
      <c r="N24" s="465">
        <v>-8.3395803032810605</v>
      </c>
      <c r="O24" s="465">
        <v>-7.9439710867205164</v>
      </c>
      <c r="P24" s="465">
        <v>-7.7401929740920226</v>
      </c>
      <c r="Q24" s="465">
        <v>-7.6889082492915648</v>
      </c>
      <c r="R24" s="465">
        <v>-7.5876300105861523</v>
      </c>
    </row>
    <row r="25" spans="2:18" ht="13.5" customHeight="1">
      <c r="B25" s="464" t="s">
        <v>281</v>
      </c>
      <c r="C25" s="464" t="s">
        <v>281</v>
      </c>
      <c r="D25" s="465">
        <v>-2.1456674734838632</v>
      </c>
      <c r="E25" s="465">
        <v>-2.6035057969430659</v>
      </c>
      <c r="F25" s="465">
        <v>-2.4862739178830595</v>
      </c>
      <c r="G25" s="465">
        <v>-2.5090608778006622</v>
      </c>
      <c r="H25" s="465">
        <v>-1.8055581950400694</v>
      </c>
      <c r="I25" s="465">
        <v>-2.161213197689583</v>
      </c>
      <c r="J25" s="465">
        <v>-6.0959664304827275</v>
      </c>
      <c r="K25" s="465">
        <v>-4.5400207542574202</v>
      </c>
      <c r="L25" s="465">
        <v>-2.3410096409079033</v>
      </c>
      <c r="M25" s="465">
        <v>-2.5850836965309663</v>
      </c>
      <c r="N25" s="465">
        <v>-2.5401969316977344</v>
      </c>
      <c r="O25" s="465">
        <v>-2.4126336431465534</v>
      </c>
      <c r="P25" s="465">
        <v>-2.2722748951171954</v>
      </c>
      <c r="Q25" s="465">
        <v>-2.1844549174234054</v>
      </c>
      <c r="R25" s="465">
        <v>-2.1011627367653154</v>
      </c>
    </row>
    <row r="26" spans="2:18" ht="13.5" customHeight="1">
      <c r="B26" s="464" t="s">
        <v>979</v>
      </c>
      <c r="C26" s="464" t="s">
        <v>979</v>
      </c>
      <c r="D26" s="465">
        <v>-1.0470694556286932</v>
      </c>
      <c r="E26" s="465">
        <v>-1.499940091172973</v>
      </c>
      <c r="F26" s="465">
        <v>-1.773137872275022</v>
      </c>
      <c r="G26" s="465">
        <v>-1.6136223654435948</v>
      </c>
      <c r="H26" s="465">
        <v>-1.6396959944716971</v>
      </c>
      <c r="I26" s="465">
        <v>-4.4830544004126365</v>
      </c>
      <c r="J26" s="465">
        <v>-5.7661140201043066</v>
      </c>
      <c r="K26" s="465">
        <v>-4.1564258315558087</v>
      </c>
      <c r="L26" s="465">
        <v>-4.0250850528813427</v>
      </c>
      <c r="M26" s="465">
        <v>-5.7606564980161572</v>
      </c>
      <c r="N26" s="465">
        <v>-6.1831650789744934</v>
      </c>
      <c r="O26" s="465">
        <v>-6.4307046230566991</v>
      </c>
      <c r="P26" s="465">
        <v>-6.6957816977658009</v>
      </c>
      <c r="Q26" s="465">
        <v>-7.0140980778162234</v>
      </c>
      <c r="R26" s="465">
        <v>-7.3510593008171181</v>
      </c>
    </row>
    <row r="27" spans="2:18" ht="13.5" customHeight="1">
      <c r="B27" s="464" t="s">
        <v>980</v>
      </c>
      <c r="C27" s="464" t="s">
        <v>980</v>
      </c>
      <c r="D27" s="465">
        <v>2.4818474419616812</v>
      </c>
      <c r="E27" s="465">
        <v>-6.259288296175729</v>
      </c>
      <c r="F27" s="465">
        <v>-4.5032169200206953</v>
      </c>
      <c r="G27" s="465">
        <v>-4.2655085637955645</v>
      </c>
      <c r="H27" s="465">
        <v>2.5795642089630553</v>
      </c>
      <c r="I27" s="465">
        <v>-0.56954275106014873</v>
      </c>
      <c r="J27" s="465">
        <v>-7.0369162642603857</v>
      </c>
      <c r="K27" s="465">
        <v>-4.9660519298872119</v>
      </c>
      <c r="L27" s="465">
        <v>9.093363241506347E-2</v>
      </c>
      <c r="M27" s="465">
        <v>-1.7785862599058444</v>
      </c>
      <c r="N27" s="465">
        <v>-0.9843336951365057</v>
      </c>
      <c r="O27" s="465">
        <v>-0.83908123456024641</v>
      </c>
      <c r="P27" s="465">
        <v>-1.1744819053829378</v>
      </c>
      <c r="Q27" s="465">
        <v>-1.2223907440022082</v>
      </c>
      <c r="R27" s="465">
        <v>-1.5378631246023009</v>
      </c>
    </row>
    <row r="28" spans="2:18" ht="13.5" customHeight="1">
      <c r="B28" s="464" t="s">
        <v>981</v>
      </c>
      <c r="C28" s="464" t="s">
        <v>981</v>
      </c>
      <c r="D28" s="465">
        <v>21.516239025405749</v>
      </c>
      <c r="E28" s="465">
        <v>4.5050897048636491</v>
      </c>
      <c r="F28" s="465">
        <v>1.032460728845964</v>
      </c>
      <c r="G28" s="465">
        <v>2.0250874659322573</v>
      </c>
      <c r="H28" s="465">
        <v>6.7464705306113926</v>
      </c>
      <c r="I28" s="465">
        <v>2.4653061507805938</v>
      </c>
      <c r="J28" s="465">
        <v>-11.397941396100878</v>
      </c>
      <c r="K28" s="465">
        <v>2.3444694144617708</v>
      </c>
      <c r="L28" s="465">
        <v>11.567769611172112</v>
      </c>
      <c r="M28" s="465">
        <v>7.04566691997434</v>
      </c>
      <c r="N28" s="465">
        <v>4.2238630373113324</v>
      </c>
      <c r="O28" s="465">
        <v>2.8370780864676632</v>
      </c>
      <c r="P28" s="465">
        <v>0.37533248466716967</v>
      </c>
      <c r="Q28" s="465">
        <v>-1.9783393258047832</v>
      </c>
      <c r="R28" s="465">
        <v>-3.1924901170797106</v>
      </c>
    </row>
    <row r="29" spans="2:18" ht="13.5" customHeight="1">
      <c r="B29" s="464" t="s">
        <v>982</v>
      </c>
      <c r="C29" s="464" t="s">
        <v>982</v>
      </c>
      <c r="D29" s="465">
        <v>-6.2168395095443012</v>
      </c>
      <c r="E29" s="465">
        <v>-7.4839241111760639</v>
      </c>
      <c r="F29" s="465">
        <v>-8.8839893651514164</v>
      </c>
      <c r="G29" s="465">
        <v>-8.6540987502971021</v>
      </c>
      <c r="H29" s="465">
        <v>-11.299598859407471</v>
      </c>
      <c r="I29" s="465">
        <v>-10.382063943338819</v>
      </c>
      <c r="J29" s="465">
        <v>-3.5245559038662484</v>
      </c>
      <c r="K29" s="465" t="s">
        <v>145</v>
      </c>
      <c r="L29" s="465" t="s">
        <v>145</v>
      </c>
      <c r="M29" s="465" t="s">
        <v>145</v>
      </c>
      <c r="N29" s="465" t="s">
        <v>145</v>
      </c>
      <c r="O29" s="465" t="s">
        <v>145</v>
      </c>
      <c r="P29" s="465" t="s">
        <v>145</v>
      </c>
      <c r="Q29" s="465" t="s">
        <v>145</v>
      </c>
      <c r="R29" s="465" t="s">
        <v>145</v>
      </c>
    </row>
    <row r="30" spans="2:18" ht="13.5" customHeight="1">
      <c r="B30" s="464" t="s">
        <v>983</v>
      </c>
      <c r="C30" s="464" t="s">
        <v>984</v>
      </c>
      <c r="D30" s="465">
        <v>-2.6284374697253527</v>
      </c>
      <c r="E30" s="465">
        <v>-2.5458843662969515</v>
      </c>
      <c r="F30" s="465">
        <v>-2.6028737562113036</v>
      </c>
      <c r="G30" s="465">
        <v>-2.4118291650232089</v>
      </c>
      <c r="H30" s="465">
        <v>-2.6446684098821649</v>
      </c>
      <c r="I30" s="465">
        <v>-2.0097994497394791</v>
      </c>
      <c r="J30" s="465">
        <v>-4.89901269393512</v>
      </c>
      <c r="K30" s="465">
        <v>-5.77172716755189</v>
      </c>
      <c r="L30" s="465">
        <v>-5.3002088823074134</v>
      </c>
      <c r="M30" s="465">
        <v>-4.8432939545234719</v>
      </c>
      <c r="N30" s="465">
        <v>-4.556218478283558</v>
      </c>
      <c r="O30" s="465">
        <v>-4.5412412995039544</v>
      </c>
      <c r="P30" s="465">
        <v>-4.4152925378808368</v>
      </c>
      <c r="Q30" s="465">
        <v>-4.4624285643027148</v>
      </c>
      <c r="R30" s="465">
        <v>-4.4657044400876442</v>
      </c>
    </row>
    <row r="31" spans="2:18" ht="13.5" customHeight="1">
      <c r="B31" s="464" t="s">
        <v>120</v>
      </c>
      <c r="C31" s="464" t="s">
        <v>120</v>
      </c>
      <c r="D31" s="465">
        <v>-4.5346394624383608</v>
      </c>
      <c r="E31" s="465">
        <v>-3.995194921642558</v>
      </c>
      <c r="F31" s="465">
        <v>-2.7652962697099976</v>
      </c>
      <c r="G31" s="465">
        <v>-1.0624304616926843</v>
      </c>
      <c r="H31" s="465">
        <v>-2.1978844836602422</v>
      </c>
      <c r="I31" s="465">
        <v>-2.3286537235169908</v>
      </c>
      <c r="J31" s="465">
        <v>-4.4102775723364207</v>
      </c>
      <c r="K31" s="465">
        <v>-3.8754168299187803</v>
      </c>
      <c r="L31" s="465">
        <v>-4.4301567104524162</v>
      </c>
      <c r="M31" s="465">
        <v>-4.111719796686427</v>
      </c>
      <c r="N31" s="465">
        <v>-2.6943401277527208</v>
      </c>
      <c r="O31" s="465">
        <v>-2.6548982614824022</v>
      </c>
      <c r="P31" s="465">
        <v>-2.655587922162657</v>
      </c>
      <c r="Q31" s="465">
        <v>-2.6694451267620916</v>
      </c>
      <c r="R31" s="465">
        <v>-2.6664789399974054</v>
      </c>
    </row>
    <row r="32" spans="2:18" ht="13.5" customHeight="1">
      <c r="B32" s="464" t="s">
        <v>985</v>
      </c>
      <c r="C32" s="464" t="s">
        <v>985</v>
      </c>
      <c r="D32" s="465">
        <v>-4.7796503883353605</v>
      </c>
      <c r="E32" s="465">
        <v>-4.5144187375312939</v>
      </c>
      <c r="F32" s="465">
        <v>-4.426138532215246</v>
      </c>
      <c r="G32" s="465">
        <v>-3.2329847375086498</v>
      </c>
      <c r="H32" s="465">
        <v>-3.4306384424176959</v>
      </c>
      <c r="I32" s="465">
        <v>-3.5509413341764557</v>
      </c>
      <c r="J32" s="465">
        <v>-7.1474533630067727</v>
      </c>
      <c r="K32" s="465">
        <v>-5.9415015334164707</v>
      </c>
      <c r="L32" s="465">
        <v>-5.1137305616061788</v>
      </c>
      <c r="M32" s="465">
        <v>-4.8729281927440482</v>
      </c>
      <c r="N32" s="465">
        <v>-4.3740636980060366</v>
      </c>
      <c r="O32" s="465">
        <v>-3.7700684153951816</v>
      </c>
      <c r="P32" s="465">
        <v>-3.2823392121273014</v>
      </c>
      <c r="Q32" s="465">
        <v>-3.0746555699330171</v>
      </c>
      <c r="R32" s="465">
        <v>-3.0575801094294301</v>
      </c>
    </row>
    <row r="33" spans="2:28" ht="13.5" customHeight="1">
      <c r="B33" s="464" t="s">
        <v>986</v>
      </c>
      <c r="C33" s="464" t="s">
        <v>986</v>
      </c>
      <c r="D33" s="465">
        <v>-1.5768547153370431</v>
      </c>
      <c r="E33" s="465">
        <v>-13.471895419222118</v>
      </c>
      <c r="F33" s="465">
        <v>-19.617703674954509</v>
      </c>
      <c r="G33" s="465">
        <v>-10.459238639730241</v>
      </c>
      <c r="H33" s="465">
        <v>-6.719297407378896</v>
      </c>
      <c r="I33" s="465">
        <v>-4.8300538334928724</v>
      </c>
      <c r="J33" s="465">
        <v>-16.083851554721978</v>
      </c>
      <c r="K33" s="465">
        <v>-3.1566025957097947</v>
      </c>
      <c r="L33" s="465">
        <v>6.3191832957581644</v>
      </c>
      <c r="M33" s="465">
        <v>0.31548767428142782</v>
      </c>
      <c r="N33" s="465">
        <v>0.94261887399978761</v>
      </c>
      <c r="O33" s="465">
        <v>0.50070890607185559</v>
      </c>
      <c r="P33" s="465">
        <v>0.29809881974859603</v>
      </c>
      <c r="Q33" s="465">
        <v>0.32419132547684193</v>
      </c>
      <c r="R33" s="465">
        <v>0.43396081486723148</v>
      </c>
    </row>
    <row r="34" spans="2:28" ht="13.5" customHeight="1">
      <c r="B34" s="464" t="s">
        <v>987</v>
      </c>
      <c r="C34" s="464" t="s">
        <v>987</v>
      </c>
      <c r="D34" s="465">
        <v>-4.3110542015990356</v>
      </c>
      <c r="E34" s="465">
        <v>-4.6679432456047136</v>
      </c>
      <c r="F34" s="465">
        <v>-3.9232607413360938</v>
      </c>
      <c r="G34" s="465">
        <v>-5.1712664472541547</v>
      </c>
      <c r="H34" s="465">
        <v>-5.6732936444448185</v>
      </c>
      <c r="I34" s="465">
        <v>-7.7891313886093698</v>
      </c>
      <c r="J34" s="465">
        <v>-7.031588642832248</v>
      </c>
      <c r="K34" s="465">
        <v>-6.0455934495810286</v>
      </c>
      <c r="L34" s="465">
        <v>-7.8012169319576952</v>
      </c>
      <c r="M34" s="465">
        <v>-6.8381101610751731</v>
      </c>
      <c r="N34" s="465">
        <v>-8.2907237151900564</v>
      </c>
      <c r="O34" s="465">
        <v>-7.0683842025302344</v>
      </c>
      <c r="P34" s="465">
        <v>-6.2347633753740022</v>
      </c>
      <c r="Q34" s="465">
        <v>-5.7781703021270889</v>
      </c>
      <c r="R34" s="465">
        <v>-5.4164393582328803</v>
      </c>
    </row>
    <row r="35" spans="2:28" ht="13.5" customHeight="1">
      <c r="B35" s="464" t="s">
        <v>988</v>
      </c>
      <c r="C35" s="464" t="s">
        <v>988</v>
      </c>
      <c r="D35" s="465">
        <v>-0.22742183132462901</v>
      </c>
      <c r="E35" s="465">
        <v>-2.117136649873534</v>
      </c>
      <c r="F35" s="465">
        <v>-2.2413457419403984</v>
      </c>
      <c r="G35" s="465">
        <v>-2.9141096416557448</v>
      </c>
      <c r="H35" s="465">
        <v>-1.987371512504059</v>
      </c>
      <c r="I35" s="465">
        <v>-1.3561671748618329</v>
      </c>
      <c r="J35" s="465">
        <v>-9.0202513628469649</v>
      </c>
      <c r="K35" s="465">
        <v>-2.5455472641263723</v>
      </c>
      <c r="L35" s="465">
        <v>-1.3241438040212927</v>
      </c>
      <c r="M35" s="465">
        <v>-2.003344112996067</v>
      </c>
      <c r="N35" s="465">
        <v>-1.8690685894381605</v>
      </c>
      <c r="O35" s="465">
        <v>-1.2515866690563224</v>
      </c>
      <c r="P35" s="465">
        <v>-0.52141550723417163</v>
      </c>
      <c r="Q35" s="465">
        <v>-0.3191120295720889</v>
      </c>
      <c r="R35" s="465">
        <v>-0.30816624324018882</v>
      </c>
    </row>
    <row r="36" spans="2:28" ht="13.5" customHeight="1">
      <c r="B36" s="464" t="s">
        <v>989</v>
      </c>
      <c r="C36" s="464" t="s">
        <v>989</v>
      </c>
      <c r="D36" s="465">
        <v>0.79913629997142421</v>
      </c>
      <c r="E36" s="465">
        <v>0.47977201637130157</v>
      </c>
      <c r="F36" s="465">
        <v>-0.8311898698601452</v>
      </c>
      <c r="G36" s="465">
        <v>-0.75156545833037158</v>
      </c>
      <c r="H36" s="465">
        <v>-1.4836646491983045</v>
      </c>
      <c r="I36" s="465">
        <v>-1.4637500100748724</v>
      </c>
      <c r="J36" s="465">
        <v>-5.5432109239588145</v>
      </c>
      <c r="K36" s="465">
        <v>-6.3085206073117277</v>
      </c>
      <c r="L36" s="465">
        <v>-5.2365844575327269</v>
      </c>
      <c r="M36" s="465">
        <v>-4.1930223256055363</v>
      </c>
      <c r="N36" s="465">
        <v>-3.7171986074782284</v>
      </c>
      <c r="O36" s="465">
        <v>-3.169089676072772</v>
      </c>
      <c r="P36" s="465">
        <v>-2.8851873350193005</v>
      </c>
      <c r="Q36" s="465">
        <v>-2.4559681243098224</v>
      </c>
      <c r="R36" s="465">
        <v>-2.2286991753786682</v>
      </c>
    </row>
    <row r="37" spans="2:28" ht="13.5" customHeight="1">
      <c r="B37" s="464" t="s">
        <v>426</v>
      </c>
      <c r="C37" s="464" t="s">
        <v>426</v>
      </c>
      <c r="D37" s="465">
        <v>-3.6686963405947584</v>
      </c>
      <c r="E37" s="465">
        <v>-2.600048063059802</v>
      </c>
      <c r="F37" s="465">
        <v>-2.3990871165946088</v>
      </c>
      <c r="G37" s="465">
        <v>-1.4923890227628287</v>
      </c>
      <c r="H37" s="465">
        <v>-0.2442033447816877</v>
      </c>
      <c r="I37" s="465">
        <v>-0.73799696376451951</v>
      </c>
      <c r="J37" s="465">
        <v>-6.9159414863918443</v>
      </c>
      <c r="K37" s="465">
        <v>-1.8363172281457614</v>
      </c>
      <c r="L37" s="465">
        <v>-3.1084076070691737</v>
      </c>
      <c r="M37" s="465">
        <v>-4.4647168585094041</v>
      </c>
      <c r="N37" s="465">
        <v>-3.8377719796632981</v>
      </c>
      <c r="O37" s="465">
        <v>-3.9725466652270724</v>
      </c>
      <c r="P37" s="465">
        <v>-4.1839134691607649</v>
      </c>
      <c r="Q37" s="465">
        <v>-3.8810325411266922</v>
      </c>
      <c r="R37" s="465">
        <v>-3.5289149875503023</v>
      </c>
    </row>
    <row r="38" spans="2:28" ht="13.5" customHeight="1">
      <c r="B38" s="464" t="s">
        <v>990</v>
      </c>
      <c r="C38" s="464" t="s">
        <v>990</v>
      </c>
      <c r="D38" s="465">
        <v>15.402179538504083</v>
      </c>
      <c r="E38" s="465">
        <v>21.655674161926882</v>
      </c>
      <c r="F38" s="465">
        <v>-4.8947735313710714</v>
      </c>
      <c r="G38" s="465">
        <v>-2.5633572116324821</v>
      </c>
      <c r="H38" s="465">
        <v>5.858483742805852</v>
      </c>
      <c r="I38" s="465">
        <v>4.8438318268860048</v>
      </c>
      <c r="J38" s="465">
        <v>1.2720897513831098</v>
      </c>
      <c r="K38" s="465">
        <v>4.3530223804415753</v>
      </c>
      <c r="L38" s="465">
        <v>14.197673842444733</v>
      </c>
      <c r="M38" s="465">
        <v>14.733325113233594</v>
      </c>
      <c r="N38" s="465">
        <v>11.062729706330497</v>
      </c>
      <c r="O38" s="465">
        <v>10.079519603206736</v>
      </c>
      <c r="P38" s="465">
        <v>10.236542930110994</v>
      </c>
      <c r="Q38" s="465">
        <v>11.994324743200853</v>
      </c>
      <c r="R38" s="465">
        <v>13.156877093449479</v>
      </c>
    </row>
    <row r="39" spans="2:28" ht="13.5" customHeight="1">
      <c r="B39" s="464" t="s">
        <v>445</v>
      </c>
      <c r="C39" s="464" t="s">
        <v>445</v>
      </c>
      <c r="D39" s="465">
        <v>-1.9822601734380199</v>
      </c>
      <c r="E39" s="465">
        <v>-1.346754871701886</v>
      </c>
      <c r="F39" s="465">
        <v>-2.4965655558780502</v>
      </c>
      <c r="G39" s="465">
        <v>-2.8561361583696327</v>
      </c>
      <c r="H39" s="465">
        <v>-2.7393259012622324</v>
      </c>
      <c r="I39" s="465">
        <v>-4.5565703988260546</v>
      </c>
      <c r="J39" s="465">
        <v>-9.5642974465678758</v>
      </c>
      <c r="K39" s="465">
        <v>-6.7318943778031786</v>
      </c>
      <c r="L39" s="465">
        <v>-5.765487744700688</v>
      </c>
      <c r="M39" s="465">
        <v>-5.6982461257850154</v>
      </c>
      <c r="N39" s="465">
        <v>-5.201756236021275</v>
      </c>
      <c r="O39" s="465">
        <v>-4.86995699681286</v>
      </c>
      <c r="P39" s="465">
        <v>-4.4526676252053123</v>
      </c>
      <c r="Q39" s="465">
        <v>-4.3928306810446553</v>
      </c>
      <c r="R39" s="465">
        <v>-4.3721634968210052</v>
      </c>
    </row>
    <row r="40" spans="2:28" ht="13.5" customHeight="1">
      <c r="B40" s="464" t="s">
        <v>116</v>
      </c>
      <c r="C40" s="464" t="s">
        <v>116</v>
      </c>
      <c r="D40" s="465">
        <v>-1.0699563320750327</v>
      </c>
      <c r="E40" s="465">
        <v>-3.3864238067177461</v>
      </c>
      <c r="F40" s="465">
        <v>-3.670080744159101</v>
      </c>
      <c r="G40" s="465">
        <v>-1.4689251547453719</v>
      </c>
      <c r="H40" s="465">
        <v>2.9233232478958047</v>
      </c>
      <c r="I40" s="465">
        <v>1.9296149315256224</v>
      </c>
      <c r="J40" s="465">
        <v>-3.9887470143996446</v>
      </c>
      <c r="K40" s="465">
        <v>0.77298643383355004</v>
      </c>
      <c r="L40" s="465">
        <v>-2.2476131841335021</v>
      </c>
      <c r="M40" s="465">
        <v>-6.2219829017943455</v>
      </c>
      <c r="N40" s="465">
        <v>-2.7775455426578883</v>
      </c>
      <c r="O40" s="465">
        <v>-1.8307091107204951</v>
      </c>
      <c r="P40" s="465">
        <v>-0.78622611857368119</v>
      </c>
      <c r="Q40" s="465">
        <v>-0.34542940058874039</v>
      </c>
      <c r="R40" s="465">
        <v>0.21122858325961885</v>
      </c>
    </row>
    <row r="41" spans="2:28" ht="13.5" customHeight="1">
      <c r="B41" s="464" t="s">
        <v>123</v>
      </c>
      <c r="C41" s="464" t="s">
        <v>123</v>
      </c>
      <c r="D41" s="465">
        <v>-3.4946087879695464</v>
      </c>
      <c r="E41" s="465">
        <v>-15.478489329904626</v>
      </c>
      <c r="F41" s="465">
        <v>-13.656163060608256</v>
      </c>
      <c r="G41" s="465">
        <v>-8.887454223417695</v>
      </c>
      <c r="H41" s="465">
        <v>-5.4537940566776779</v>
      </c>
      <c r="I41" s="465">
        <v>-4.2025745559081864</v>
      </c>
      <c r="J41" s="465">
        <v>-10.679921758718917</v>
      </c>
      <c r="K41" s="465">
        <v>-2.2549135790946697</v>
      </c>
      <c r="L41" s="465">
        <v>2.5106618407111601</v>
      </c>
      <c r="M41" s="465">
        <v>-1.0869411156139472</v>
      </c>
      <c r="N41" s="465">
        <v>-1.1881820119996049</v>
      </c>
      <c r="O41" s="465">
        <v>-0.84549262861840169</v>
      </c>
      <c r="P41" s="465">
        <v>-0.25903527551688338</v>
      </c>
      <c r="Q41" s="465">
        <v>-7.5327328010873745E-2</v>
      </c>
      <c r="R41" s="465">
        <v>-0.32550618705685092</v>
      </c>
    </row>
    <row r="42" spans="2:28" ht="13.5" customHeight="1">
      <c r="B42" s="464" t="s">
        <v>124</v>
      </c>
      <c r="C42" s="464" t="s">
        <v>124</v>
      </c>
      <c r="D42" s="465">
        <v>-3.9242731513522546</v>
      </c>
      <c r="E42" s="465">
        <v>-4.3739937778131663</v>
      </c>
      <c r="F42" s="465">
        <v>-3.7249929300113145</v>
      </c>
      <c r="G42" s="465">
        <v>-4.0158340785133912</v>
      </c>
      <c r="H42" s="465">
        <v>-3.7424340015443267</v>
      </c>
      <c r="I42" s="465">
        <v>-4.7055927188387621</v>
      </c>
      <c r="J42" s="465">
        <v>-9.6308382383321973</v>
      </c>
      <c r="K42" s="465">
        <v>-5.5511308321990303</v>
      </c>
      <c r="L42" s="465">
        <v>-4.485230438267152</v>
      </c>
      <c r="M42" s="465">
        <v>-5.899916015621324</v>
      </c>
      <c r="N42" s="465">
        <v>-6.1174422155911268</v>
      </c>
      <c r="O42" s="465">
        <v>-6.7444320702644651</v>
      </c>
      <c r="P42" s="465">
        <v>-6.3488787951618368</v>
      </c>
      <c r="Q42" s="465">
        <v>-6.2874012331186417</v>
      </c>
      <c r="R42" s="465">
        <v>-6.4607911218343039</v>
      </c>
    </row>
    <row r="43" spans="2:28" ht="13.5" customHeight="1">
      <c r="B43" s="464" t="s">
        <v>991</v>
      </c>
      <c r="C43" s="464" t="s">
        <v>991</v>
      </c>
      <c r="D43" s="465">
        <v>-5.9916446038871074</v>
      </c>
      <c r="E43" s="465">
        <v>-6.638963111136893</v>
      </c>
      <c r="F43" s="465">
        <v>-4.9974814590273891</v>
      </c>
      <c r="G43" s="465">
        <v>-5.0981979338888639</v>
      </c>
      <c r="H43" s="465">
        <v>-4.95552547320748</v>
      </c>
      <c r="I43" s="465">
        <v>-7.5192279056020812</v>
      </c>
      <c r="J43" s="465">
        <v>-12.060450388042094</v>
      </c>
      <c r="K43" s="465">
        <v>-11.636005815721424</v>
      </c>
      <c r="L43" s="465">
        <v>-10.386468733777605</v>
      </c>
      <c r="M43" s="465" t="s">
        <v>145</v>
      </c>
      <c r="N43" s="465" t="s">
        <v>145</v>
      </c>
      <c r="O43" s="465" t="s">
        <v>145</v>
      </c>
      <c r="P43" s="465" t="s">
        <v>145</v>
      </c>
      <c r="Q43" s="465" t="s">
        <v>145</v>
      </c>
      <c r="R43" s="465" t="s">
        <v>145</v>
      </c>
    </row>
    <row r="44" spans="2:28" ht="13.5" customHeight="1">
      <c r="B44" s="464" t="s">
        <v>992</v>
      </c>
      <c r="C44" s="464" t="s">
        <v>992</v>
      </c>
      <c r="D44" s="465">
        <v>-0.80092233068601215</v>
      </c>
      <c r="E44" s="465">
        <v>0.13237768014577986</v>
      </c>
      <c r="F44" s="465">
        <v>0.56943005296400973</v>
      </c>
      <c r="G44" s="465">
        <v>-0.4248819614366105</v>
      </c>
      <c r="H44" s="465">
        <v>6.4059624990952982E-2</v>
      </c>
      <c r="I44" s="465">
        <v>-0.81554358545742545</v>
      </c>
      <c r="J44" s="465">
        <v>-4.708828091942082</v>
      </c>
      <c r="K44" s="465">
        <v>-7.0310400352252191</v>
      </c>
      <c r="L44" s="465">
        <v>-5.525274732403112</v>
      </c>
      <c r="M44" s="465">
        <v>-3.1404247984468414</v>
      </c>
      <c r="N44" s="465">
        <v>-3.1403943002801671</v>
      </c>
      <c r="O44" s="465">
        <v>-3.2483555393566994</v>
      </c>
      <c r="P44" s="465">
        <v>-3.2826479348066493</v>
      </c>
      <c r="Q44" s="465">
        <v>-3.4088467388653889</v>
      </c>
      <c r="R44" s="465">
        <v>-3.42166601419606</v>
      </c>
    </row>
    <row r="45" spans="2:28" ht="13.5" customHeight="1">
      <c r="B45" s="464" t="s">
        <v>993</v>
      </c>
      <c r="C45" s="464" t="s">
        <v>993</v>
      </c>
      <c r="D45" s="465">
        <v>-1.4226473535281878</v>
      </c>
      <c r="E45" s="465">
        <v>-1.2585401824068527</v>
      </c>
      <c r="F45" s="465">
        <v>-2.3378843638095539</v>
      </c>
      <c r="G45" s="465">
        <v>-2.1891097637176538</v>
      </c>
      <c r="H45" s="465">
        <v>-3.7863333288848993</v>
      </c>
      <c r="I45" s="465">
        <v>-4.7555420579320824</v>
      </c>
      <c r="J45" s="465">
        <v>-5.1218728312904176</v>
      </c>
      <c r="K45" s="465">
        <v>-3.955802010395669</v>
      </c>
      <c r="L45" s="465">
        <v>-1.6353384041419765</v>
      </c>
      <c r="M45" s="465">
        <v>-6.4977745886553739</v>
      </c>
      <c r="N45" s="465">
        <v>-5.7013133333765937</v>
      </c>
      <c r="O45" s="465">
        <v>-5.5858699558283567</v>
      </c>
      <c r="P45" s="465">
        <v>-5.5654323286757075</v>
      </c>
      <c r="Q45" s="465">
        <v>-5.5739329568290987</v>
      </c>
      <c r="R45" s="465">
        <v>-5.5917888374514684</v>
      </c>
    </row>
    <row r="46" spans="2:28" ht="13.5" customHeight="1">
      <c r="B46" s="464" t="s">
        <v>994</v>
      </c>
      <c r="C46" s="464" t="s">
        <v>994</v>
      </c>
      <c r="D46" s="465">
        <v>-4.4599762753033385</v>
      </c>
      <c r="E46" s="465">
        <v>-1.1598251064728771</v>
      </c>
      <c r="F46" s="465">
        <v>-2.4593001146628182</v>
      </c>
      <c r="G46" s="465">
        <v>-2.3550666176266883</v>
      </c>
      <c r="H46" s="465">
        <v>-2.1236964494292887</v>
      </c>
      <c r="I46" s="465">
        <v>-2.0821710947274958</v>
      </c>
      <c r="J46" s="465">
        <v>-5.9180028841433012</v>
      </c>
      <c r="K46" s="465">
        <v>-3.9498606607306717</v>
      </c>
      <c r="L46" s="465">
        <v>-16.681387654077756</v>
      </c>
      <c r="M46" s="465">
        <v>-20.449277850222476</v>
      </c>
      <c r="N46" s="465" t="s">
        <v>145</v>
      </c>
      <c r="O46" s="465" t="s">
        <v>145</v>
      </c>
      <c r="P46" s="465" t="s">
        <v>145</v>
      </c>
      <c r="Q46" s="465" t="s">
        <v>145</v>
      </c>
      <c r="R46" s="465" t="s">
        <v>145</v>
      </c>
      <c r="T46" s="471"/>
      <c r="U46" s="472"/>
      <c r="V46" s="472"/>
      <c r="W46" s="472"/>
      <c r="X46" s="472"/>
      <c r="Y46" s="472"/>
      <c r="Z46" s="472"/>
      <c r="AA46" s="472"/>
      <c r="AB46" s="472"/>
    </row>
    <row r="47" spans="2:28" ht="13.5" customHeight="1">
      <c r="B47" s="464" t="s">
        <v>995</v>
      </c>
      <c r="C47" s="464" t="s">
        <v>995</v>
      </c>
      <c r="D47" s="465">
        <v>1.931101973152981</v>
      </c>
      <c r="E47" s="465">
        <v>-6.5550797949551338</v>
      </c>
      <c r="F47" s="465">
        <v>-3.051305454247137</v>
      </c>
      <c r="G47" s="465">
        <v>-0.16433273444131516</v>
      </c>
      <c r="H47" s="465">
        <v>3.7695058008453519</v>
      </c>
      <c r="I47" s="465">
        <v>2.5901812272044791</v>
      </c>
      <c r="J47" s="465">
        <v>-2.4682892030299852</v>
      </c>
      <c r="K47" s="465">
        <v>4.0341690102564209</v>
      </c>
      <c r="L47" s="465">
        <v>8.9967077449852297</v>
      </c>
      <c r="M47" s="465">
        <v>4.3345580050872323</v>
      </c>
      <c r="N47" s="465">
        <v>3.6544329113301086</v>
      </c>
      <c r="O47" s="465">
        <v>2.8567688344733826</v>
      </c>
      <c r="P47" s="465">
        <v>2.4169952419073675</v>
      </c>
      <c r="Q47" s="465">
        <v>2.1727783831703671</v>
      </c>
      <c r="R47" s="465">
        <v>2.0057692850007385</v>
      </c>
    </row>
    <row r="48" spans="2:28" ht="13.5" customHeight="1">
      <c r="B48" s="464" t="s">
        <v>996</v>
      </c>
      <c r="C48" s="464" t="s">
        <v>997</v>
      </c>
      <c r="D48" s="465">
        <v>-2.6107879715636986</v>
      </c>
      <c r="E48" s="465">
        <v>-1.8648214922341662</v>
      </c>
      <c r="F48" s="465">
        <v>-2.6928373402810788</v>
      </c>
      <c r="G48" s="465">
        <v>-2.5404726915070568</v>
      </c>
      <c r="H48" s="465">
        <v>-1.9118192920759152</v>
      </c>
      <c r="I48" s="465">
        <v>-2.7578236651186252</v>
      </c>
      <c r="J48" s="465">
        <v>-4.6682600891018593</v>
      </c>
      <c r="K48" s="465">
        <v>-2.6962107418056291</v>
      </c>
      <c r="L48" s="465">
        <v>-2.5459431668885868</v>
      </c>
      <c r="M48" s="465">
        <v>-2.1850162729312239</v>
      </c>
      <c r="N48" s="465">
        <v>-2.4782876991891891</v>
      </c>
      <c r="O48" s="465">
        <v>-2.3502917798617147</v>
      </c>
      <c r="P48" s="465">
        <v>-2.2284865939560738</v>
      </c>
      <c r="Q48" s="465">
        <v>-2.0949959805248901</v>
      </c>
      <c r="R48" s="465">
        <v>-1.8770887737660855</v>
      </c>
    </row>
    <row r="49" spans="2:20" ht="13.5" customHeight="1">
      <c r="B49" s="466" t="s">
        <v>998</v>
      </c>
      <c r="C49" s="466" t="s">
        <v>998</v>
      </c>
      <c r="D49" s="467">
        <v>-9.8083922359171307</v>
      </c>
      <c r="E49" s="467">
        <v>-8.0633519810957104</v>
      </c>
      <c r="F49" s="467">
        <v>-8.4626569738510877</v>
      </c>
      <c r="G49" s="467">
        <v>-13.273112010312152</v>
      </c>
      <c r="H49" s="467">
        <v>-30.275513716565388</v>
      </c>
      <c r="I49" s="467">
        <v>-10.004994898269688</v>
      </c>
      <c r="J49" s="467">
        <v>-5.0138875489890768</v>
      </c>
      <c r="K49" s="467">
        <v>-4.6057598103202979</v>
      </c>
      <c r="L49" s="467">
        <v>-6.0218084608265725</v>
      </c>
      <c r="M49" s="467" t="s">
        <v>145</v>
      </c>
      <c r="N49" s="467" t="s">
        <v>145</v>
      </c>
      <c r="O49" s="467" t="s">
        <v>145</v>
      </c>
      <c r="P49" s="467" t="s">
        <v>145</v>
      </c>
      <c r="Q49" s="467" t="s">
        <v>145</v>
      </c>
      <c r="R49" s="467" t="s">
        <v>145</v>
      </c>
    </row>
    <row r="50" spans="2:20" ht="6" customHeight="1">
      <c r="B50" s="464"/>
      <c r="C50" s="464"/>
      <c r="D50" s="465"/>
      <c r="E50" s="465"/>
      <c r="F50" s="465"/>
      <c r="G50" s="465"/>
      <c r="H50" s="465"/>
      <c r="I50" s="465"/>
      <c r="J50" s="465"/>
      <c r="K50" s="465"/>
      <c r="L50" s="465"/>
      <c r="M50" s="465"/>
      <c r="N50" s="465"/>
      <c r="O50" s="465"/>
      <c r="P50" s="465"/>
      <c r="Q50" s="465"/>
      <c r="R50" s="465"/>
    </row>
    <row r="51" spans="2:20" ht="15.75" customHeight="1">
      <c r="B51" s="613" t="s">
        <v>927</v>
      </c>
      <c r="C51" s="613"/>
      <c r="D51" s="613"/>
      <c r="E51" s="613"/>
      <c r="F51" s="613"/>
      <c r="G51" s="613"/>
      <c r="H51" s="613"/>
      <c r="I51" s="613"/>
      <c r="J51" s="613"/>
      <c r="K51" s="613"/>
      <c r="L51" s="613"/>
      <c r="M51" s="613"/>
      <c r="N51" s="613"/>
      <c r="O51" s="613"/>
      <c r="P51" s="613"/>
      <c r="Q51" s="468"/>
      <c r="R51" s="468"/>
      <c r="T51" s="494"/>
    </row>
    <row r="52" spans="2:20" ht="15" customHeight="1">
      <c r="B52" s="613" t="s">
        <v>999</v>
      </c>
      <c r="C52" s="613"/>
      <c r="D52" s="613"/>
      <c r="E52" s="613"/>
      <c r="F52" s="613"/>
      <c r="G52" s="613"/>
      <c r="H52" s="613"/>
      <c r="I52" s="613"/>
      <c r="J52" s="613"/>
      <c r="K52" s="613"/>
      <c r="L52" s="613"/>
      <c r="M52" s="613"/>
      <c r="N52" s="613"/>
      <c r="O52" s="613"/>
      <c r="P52" s="613"/>
      <c r="Q52" s="613"/>
      <c r="R52" s="469"/>
      <c r="T52" s="494"/>
    </row>
    <row r="53" spans="2:20" ht="25.5" customHeight="1">
      <c r="B53" s="617" t="s">
        <v>1000</v>
      </c>
      <c r="C53" s="617"/>
      <c r="D53" s="617"/>
      <c r="E53" s="617"/>
      <c r="F53" s="617"/>
      <c r="G53" s="617"/>
      <c r="H53" s="617"/>
      <c r="I53" s="617"/>
      <c r="J53" s="617"/>
      <c r="K53" s="617"/>
      <c r="L53" s="617"/>
      <c r="M53" s="617"/>
      <c r="N53" s="617"/>
      <c r="O53" s="617"/>
      <c r="P53" s="617"/>
      <c r="Q53" s="617"/>
      <c r="R53" s="617"/>
      <c r="T53" s="494"/>
    </row>
    <row r="54" spans="2:20" ht="15" customHeight="1">
      <c r="B54" s="618" t="s">
        <v>1001</v>
      </c>
      <c r="C54" s="618"/>
      <c r="D54" s="618"/>
      <c r="E54" s="618"/>
      <c r="F54" s="618"/>
      <c r="G54" s="618"/>
      <c r="H54" s="618"/>
      <c r="I54" s="618"/>
      <c r="J54" s="618"/>
      <c r="K54" s="618"/>
      <c r="L54" s="618"/>
      <c r="M54" s="618"/>
      <c r="N54" s="618"/>
      <c r="O54" s="618"/>
      <c r="P54" s="618"/>
      <c r="Q54" s="618"/>
      <c r="R54" s="618"/>
      <c r="T54" s="494"/>
    </row>
    <row r="55" spans="2:20" ht="15" customHeight="1">
      <c r="B55" s="615" t="s">
        <v>1002</v>
      </c>
      <c r="C55" s="615"/>
      <c r="D55" s="615"/>
      <c r="E55" s="615"/>
      <c r="F55" s="615"/>
      <c r="G55" s="615"/>
      <c r="H55" s="615"/>
      <c r="I55" s="615"/>
      <c r="J55" s="615"/>
      <c r="K55" s="615"/>
      <c r="L55" s="615"/>
      <c r="M55" s="615"/>
      <c r="N55" s="615"/>
      <c r="O55" s="615"/>
      <c r="P55" s="615"/>
      <c r="Q55" s="615"/>
      <c r="R55" s="495"/>
      <c r="T55" s="494"/>
    </row>
    <row r="56" spans="2:20" ht="90.75" customHeight="1">
      <c r="B56" s="615" t="s">
        <v>1003</v>
      </c>
      <c r="C56" s="615"/>
      <c r="D56" s="615"/>
      <c r="E56" s="615"/>
      <c r="F56" s="615"/>
      <c r="G56" s="615"/>
      <c r="H56" s="615"/>
      <c r="I56" s="615"/>
      <c r="J56" s="615"/>
      <c r="K56" s="615"/>
      <c r="L56" s="615"/>
      <c r="M56" s="615"/>
      <c r="N56" s="615"/>
      <c r="O56" s="615"/>
      <c r="P56" s="615"/>
      <c r="Q56" s="615"/>
      <c r="R56" s="495"/>
      <c r="T56" s="494"/>
    </row>
    <row r="57" spans="2:20">
      <c r="B57" s="464"/>
      <c r="C57" s="464"/>
      <c r="D57" s="469"/>
      <c r="E57" s="469"/>
      <c r="F57" s="469"/>
      <c r="G57" s="469"/>
      <c r="H57" s="469"/>
      <c r="I57" s="469"/>
      <c r="J57" s="469"/>
      <c r="K57" s="469"/>
      <c r="L57" s="469"/>
      <c r="M57" s="469"/>
      <c r="N57" s="469"/>
      <c r="O57" s="469"/>
      <c r="P57" s="469"/>
      <c r="Q57" s="469"/>
      <c r="R57" s="469"/>
    </row>
    <row r="58" spans="2:20">
      <c r="B58" s="464"/>
      <c r="C58" s="464"/>
      <c r="D58" s="469"/>
      <c r="E58" s="469"/>
      <c r="F58" s="469"/>
      <c r="G58" s="469"/>
      <c r="H58" s="469"/>
      <c r="I58" s="469"/>
      <c r="J58" s="469"/>
      <c r="K58" s="469"/>
      <c r="L58" s="469"/>
      <c r="M58" s="469"/>
      <c r="N58" s="469"/>
      <c r="O58" s="469"/>
      <c r="P58" s="469"/>
      <c r="Q58" s="469"/>
      <c r="R58" s="469"/>
    </row>
    <row r="59" spans="2:20">
      <c r="B59" s="464"/>
      <c r="C59" s="464"/>
      <c r="D59" s="469"/>
      <c r="E59" s="469"/>
      <c r="F59" s="469"/>
      <c r="G59" s="469"/>
      <c r="H59" s="469"/>
      <c r="I59" s="469"/>
      <c r="J59" s="469"/>
      <c r="K59" s="469"/>
      <c r="L59" s="469"/>
      <c r="M59" s="469"/>
      <c r="N59" s="469"/>
      <c r="O59" s="469"/>
      <c r="P59" s="469"/>
      <c r="Q59" s="469"/>
      <c r="R59" s="469"/>
    </row>
    <row r="60" spans="2:20">
      <c r="B60" s="464"/>
      <c r="C60" s="464"/>
      <c r="D60" s="469"/>
      <c r="E60" s="469"/>
      <c r="F60" s="469"/>
      <c r="G60" s="469"/>
      <c r="H60" s="469"/>
      <c r="I60" s="469"/>
      <c r="J60" s="469"/>
      <c r="K60" s="469"/>
      <c r="L60" s="469"/>
      <c r="M60" s="469"/>
      <c r="N60" s="469"/>
      <c r="O60" s="469"/>
      <c r="P60" s="469"/>
      <c r="Q60" s="469"/>
      <c r="R60" s="469"/>
    </row>
    <row r="61" spans="2:20">
      <c r="B61" s="464"/>
      <c r="C61" s="464"/>
      <c r="D61" s="469"/>
      <c r="E61" s="469"/>
      <c r="F61" s="469"/>
      <c r="G61" s="469"/>
      <c r="H61" s="469"/>
      <c r="I61" s="469"/>
      <c r="J61" s="469"/>
      <c r="K61" s="469"/>
      <c r="L61" s="469"/>
      <c r="M61" s="469"/>
      <c r="N61" s="469"/>
      <c r="O61" s="469"/>
      <c r="P61" s="469"/>
      <c r="Q61" s="469"/>
      <c r="R61" s="469"/>
    </row>
    <row r="62" spans="2:20">
      <c r="B62" s="464"/>
      <c r="C62" s="464"/>
      <c r="D62" s="469"/>
      <c r="E62" s="469"/>
      <c r="F62" s="469"/>
      <c r="G62" s="469"/>
      <c r="H62" s="469"/>
      <c r="I62" s="469"/>
      <c r="J62" s="469"/>
      <c r="K62" s="469"/>
      <c r="L62" s="469"/>
      <c r="M62" s="469"/>
      <c r="N62" s="469"/>
      <c r="O62" s="469"/>
      <c r="P62" s="469"/>
      <c r="Q62" s="469"/>
      <c r="R62" s="469"/>
    </row>
    <row r="63" spans="2:20">
      <c r="B63" s="464"/>
      <c r="C63" s="464"/>
      <c r="D63" s="469"/>
      <c r="E63" s="469"/>
      <c r="F63" s="469"/>
      <c r="G63" s="469"/>
      <c r="H63" s="469"/>
      <c r="I63" s="469"/>
      <c r="J63" s="469"/>
      <c r="K63" s="469"/>
      <c r="L63" s="469"/>
      <c r="M63" s="469"/>
      <c r="N63" s="469"/>
      <c r="O63" s="469"/>
      <c r="P63" s="469"/>
      <c r="Q63" s="469"/>
      <c r="R63" s="469"/>
    </row>
    <row r="64" spans="2:20">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sheetData>
  <mergeCells count="7">
    <mergeCell ref="B56:Q56"/>
    <mergeCell ref="B2:N2"/>
    <mergeCell ref="B51:P51"/>
    <mergeCell ref="B52:Q52"/>
    <mergeCell ref="B53:R53"/>
    <mergeCell ref="B54:R54"/>
    <mergeCell ref="B55:Q55"/>
  </mergeCells>
  <conditionalFormatting sqref="B22">
    <cfRule type="expression" dxfId="35" priority="4">
      <formula>MOD(ROW(),2)=0</formula>
    </cfRule>
  </conditionalFormatting>
  <conditionalFormatting sqref="B11:R49">
    <cfRule type="expression" dxfId="34" priority="1">
      <formula>MOD(ROW(),2)=0</formula>
    </cfRule>
  </conditionalFormatting>
  <hyperlinks>
    <hyperlink ref="B53:R53" r:id="rId1" location=":~:text=Following%20an%20impressive%20recovery%20from,and%20global%20demand%20has%20slowed." display="3 China’s deficit and public debt numbers presented in this table cover a narrower perimeter of the general government than IMF staff’s estimates in China Article IV reports (see IMF 2023 for a reconciliation of the two estimates). " xr:uid="{7941E30B-A208-4FFD-8C96-AABEA298D0E7}"/>
  </hyperlinks>
  <pageMargins left="0.7" right="0.7" top="0.75" bottom="0.75" header="0.3" footer="0.3"/>
  <pageSetup scale="35"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8F83-08AD-4F2A-97BD-11782740363C}">
  <sheetPr codeName="Sheet13">
    <pageSetUpPr fitToPage="1"/>
  </sheetPr>
  <dimension ref="A1:AH74"/>
  <sheetViews>
    <sheetView showGridLines="0" zoomScale="130" zoomScaleNormal="130" workbookViewId="0">
      <pane xSplit="3" ySplit="4" topLeftCell="H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17.5703125" style="451" customWidth="1"/>
    <col min="3" max="3" width="20.5703125" style="451" hidden="1" customWidth="1" outlineLevel="1"/>
    <col min="4" max="4" width="8.85546875" style="452" customWidth="1" collapsed="1"/>
    <col min="5" max="17" width="8.85546875" style="452" customWidth="1"/>
    <col min="18" max="18" width="9.28515625" style="452" customWidth="1"/>
    <col min="19" max="19" width="9.140625" style="496"/>
    <col min="20" max="20" width="0" style="496" hidden="1" customWidth="1"/>
    <col min="21" max="34" width="9.140625" style="496"/>
    <col min="35" max="16384" width="9.140625" style="451"/>
  </cols>
  <sheetData>
    <row r="1" spans="2:21">
      <c r="U1" s="497"/>
    </row>
    <row r="2" spans="2:21" ht="14.45" customHeight="1">
      <c r="B2" s="616" t="str">
        <f>"Table A10. Emerging Market and Middle-Income Economies: General Government Primary Balance, "&amp;D4&amp;"–"&amp;RIGHT(R4,2)</f>
        <v>Table A10. Emerging Market and Middle-Income Economies: General Government Primary Balance, 2014–28</v>
      </c>
      <c r="C2" s="616"/>
      <c r="D2" s="616"/>
      <c r="E2" s="616"/>
      <c r="F2" s="616"/>
      <c r="G2" s="616"/>
      <c r="H2" s="616"/>
      <c r="I2" s="616"/>
      <c r="J2" s="616"/>
      <c r="K2" s="616"/>
      <c r="L2" s="616"/>
      <c r="M2" s="616"/>
      <c r="N2" s="616"/>
      <c r="O2" s="485"/>
      <c r="P2" s="485"/>
      <c r="Q2" s="485"/>
      <c r="R2" s="485"/>
      <c r="T2" s="490" t="s">
        <v>966</v>
      </c>
      <c r="U2" s="489"/>
    </row>
    <row r="3" spans="2:21">
      <c r="B3" s="619" t="s">
        <v>81</v>
      </c>
      <c r="C3" s="620"/>
      <c r="D3" s="620"/>
      <c r="E3" s="620"/>
      <c r="F3" s="620"/>
      <c r="G3" s="620"/>
      <c r="H3" s="620"/>
      <c r="I3" s="620"/>
      <c r="J3" s="620"/>
      <c r="K3" s="620"/>
      <c r="L3" s="620"/>
      <c r="M3" s="620"/>
      <c r="N3" s="620"/>
      <c r="O3" s="620"/>
      <c r="P3" s="620"/>
      <c r="Q3" s="620"/>
      <c r="R3" s="620"/>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196</v>
      </c>
      <c r="C5" s="491" t="s">
        <v>967</v>
      </c>
      <c r="D5" s="461">
        <v>-0.76695765258868032</v>
      </c>
      <c r="E5" s="461">
        <v>-2.451637103681882</v>
      </c>
      <c r="F5" s="461">
        <v>-2.8255717827901345</v>
      </c>
      <c r="G5" s="461">
        <v>-2.0641474386020215</v>
      </c>
      <c r="H5" s="461">
        <v>-1.7608377354382223</v>
      </c>
      <c r="I5" s="461">
        <v>-2.7438231782275384</v>
      </c>
      <c r="J5" s="461">
        <v>-7.0782787885083858</v>
      </c>
      <c r="K5" s="461">
        <v>-3.4414162513551227</v>
      </c>
      <c r="L5" s="461">
        <v>-3.4316520598411611</v>
      </c>
      <c r="M5" s="461">
        <v>-3.7013972748416126</v>
      </c>
      <c r="N5" s="461">
        <v>-3.0131191503240076</v>
      </c>
      <c r="O5" s="461">
        <v>-2.7603076315339075</v>
      </c>
      <c r="P5" s="461">
        <v>-2.485503523245026</v>
      </c>
      <c r="Q5" s="461">
        <v>-2.2799445759913026</v>
      </c>
      <c r="R5" s="461">
        <v>-2.1617914226519503</v>
      </c>
    </row>
    <row r="6" spans="2:21" ht="14.1" customHeight="1">
      <c r="B6" s="492" t="s">
        <v>108</v>
      </c>
      <c r="C6" s="491" t="s">
        <v>109</v>
      </c>
      <c r="D6" s="461">
        <v>-0.47572866613050524</v>
      </c>
      <c r="E6" s="461">
        <v>-1.9044446441407852</v>
      </c>
      <c r="F6" s="461">
        <v>-2.380084189573088</v>
      </c>
      <c r="G6" s="461">
        <v>-2.1768611435403415</v>
      </c>
      <c r="H6" s="461">
        <v>-2.7743015161783475</v>
      </c>
      <c r="I6" s="461">
        <v>-4.2942451443289533</v>
      </c>
      <c r="J6" s="461">
        <v>-7.9988764992767685</v>
      </c>
      <c r="K6" s="461">
        <v>-4.9065175851313372</v>
      </c>
      <c r="L6" s="461">
        <v>-5.7867254634430321</v>
      </c>
      <c r="M6" s="461">
        <v>-4.9504209164733739</v>
      </c>
      <c r="N6" s="461">
        <v>-4.3653174038335845</v>
      </c>
      <c r="O6" s="461">
        <v>-4.0804598175284204</v>
      </c>
      <c r="P6" s="461">
        <v>-3.8009911695028098</v>
      </c>
      <c r="Q6" s="461">
        <v>-3.5390884052715115</v>
      </c>
      <c r="R6" s="461">
        <v>-3.4104795265626962</v>
      </c>
    </row>
    <row r="7" spans="2:21" ht="14.1" customHeight="1">
      <c r="B7" s="492" t="s">
        <v>113</v>
      </c>
      <c r="C7" s="491" t="s">
        <v>114</v>
      </c>
      <c r="D7" s="461">
        <v>-0.35662809353725533</v>
      </c>
      <c r="E7" s="461">
        <v>-1.5081774137749424</v>
      </c>
      <c r="F7" s="461">
        <v>-1.6725977933169269</v>
      </c>
      <c r="G7" s="461">
        <v>-0.77449068320154846</v>
      </c>
      <c r="H7" s="461">
        <v>1.3535414098117808</v>
      </c>
      <c r="I7" s="461">
        <v>0.44022284816113727</v>
      </c>
      <c r="J7" s="461">
        <v>-4.4567167450232974</v>
      </c>
      <c r="K7" s="461">
        <v>-0.8790174152791832</v>
      </c>
      <c r="L7" s="461">
        <v>-1.8520224005187549</v>
      </c>
      <c r="M7" s="461">
        <v>-4.4432947824389455</v>
      </c>
      <c r="N7" s="461">
        <v>-2.3996697183944384</v>
      </c>
      <c r="O7" s="461">
        <v>-1.7997531644085039</v>
      </c>
      <c r="P7" s="461">
        <v>-1.2425056299095358</v>
      </c>
      <c r="Q7" s="461">
        <v>-1.0644752387534648</v>
      </c>
      <c r="R7" s="461">
        <v>-0.78252747574113135</v>
      </c>
    </row>
    <row r="8" spans="2:21" ht="14.1" customHeight="1">
      <c r="B8" s="492" t="s">
        <v>117</v>
      </c>
      <c r="C8" s="491" t="s">
        <v>118</v>
      </c>
      <c r="D8" s="461">
        <v>-1.4680933920651267</v>
      </c>
      <c r="E8" s="461">
        <v>-2.0984434845907196</v>
      </c>
      <c r="F8" s="461">
        <v>-2.0321410335305927</v>
      </c>
      <c r="G8" s="461">
        <v>-1.2720198440783907</v>
      </c>
      <c r="H8" s="461">
        <v>-1.3480502305615267</v>
      </c>
      <c r="I8" s="461">
        <v>-0.45709248378078438</v>
      </c>
      <c r="J8" s="461">
        <v>-5.5311443099986066</v>
      </c>
      <c r="K8" s="461">
        <v>-1.0335545940513069</v>
      </c>
      <c r="L8" s="461">
        <v>1.4272525899798039E-2</v>
      </c>
      <c r="M8" s="461">
        <v>-0.89332046078485339</v>
      </c>
      <c r="N8" s="461">
        <v>8.5974807371595297E-2</v>
      </c>
      <c r="O8" s="461">
        <v>0.43796911899925545</v>
      </c>
      <c r="P8" s="461">
        <v>0.77577858651711118</v>
      </c>
      <c r="Q8" s="461">
        <v>1.0125860911844367</v>
      </c>
      <c r="R8" s="461">
        <v>1.2276191042695932</v>
      </c>
    </row>
    <row r="9" spans="2:21" ht="14.1" customHeight="1">
      <c r="B9" s="492" t="s">
        <v>121</v>
      </c>
      <c r="C9" s="491" t="s">
        <v>122</v>
      </c>
      <c r="D9" s="461">
        <v>-1.1994990420132092</v>
      </c>
      <c r="E9" s="461">
        <v>-7.5493413697195537</v>
      </c>
      <c r="F9" s="461">
        <v>-8.6044588124426955</v>
      </c>
      <c r="G9" s="461">
        <v>-4.8274502363234744</v>
      </c>
      <c r="H9" s="461">
        <v>-0.78088494952929988</v>
      </c>
      <c r="I9" s="461">
        <v>-1.3314347987053163</v>
      </c>
      <c r="J9" s="461">
        <v>-7.6473896415470053</v>
      </c>
      <c r="K9" s="461">
        <v>-0.88409284507224328</v>
      </c>
      <c r="L9" s="461">
        <v>3.5402206796411999</v>
      </c>
      <c r="M9" s="461">
        <v>0.46459933208665283</v>
      </c>
      <c r="N9" s="461">
        <v>-1.430666812479477E-2</v>
      </c>
      <c r="O9" s="461">
        <v>-0.26993283770455034</v>
      </c>
      <c r="P9" s="461">
        <v>-0.29264199113076178</v>
      </c>
      <c r="Q9" s="461">
        <v>-0.27625781004608563</v>
      </c>
      <c r="R9" s="461">
        <v>-0.39227790259224432</v>
      </c>
    </row>
    <row r="10" spans="2:21" ht="14.1" customHeight="1">
      <c r="B10" s="493" t="s">
        <v>968</v>
      </c>
      <c r="C10" s="491" t="s">
        <v>103</v>
      </c>
      <c r="D10" s="461">
        <v>-0.80166429709145481</v>
      </c>
      <c r="E10" s="461">
        <v>-2.5236555051751823</v>
      </c>
      <c r="F10" s="461">
        <v>-2.8584450631824447</v>
      </c>
      <c r="G10" s="461">
        <v>-2.1911483904537952</v>
      </c>
      <c r="H10" s="461">
        <v>-2.2562294881438727</v>
      </c>
      <c r="I10" s="461">
        <v>-3.38922007357053</v>
      </c>
      <c r="J10" s="461">
        <v>-7.6277838223885031</v>
      </c>
      <c r="K10" s="461">
        <v>-3.7507367565916141</v>
      </c>
      <c r="L10" s="461">
        <v>-4.3135050538269457</v>
      </c>
      <c r="M10" s="461">
        <v>-4.431378238054962</v>
      </c>
      <c r="N10" s="461">
        <v>-3.6028589725749693</v>
      </c>
      <c r="O10" s="461">
        <v>-3.2772293609206238</v>
      </c>
      <c r="P10" s="461">
        <v>-2.9416807555890974</v>
      </c>
      <c r="Q10" s="461">
        <v>-2.6924728944489766</v>
      </c>
      <c r="R10" s="461">
        <v>-2.5547932804111189</v>
      </c>
    </row>
    <row r="11" spans="2:21" ht="15" customHeight="1">
      <c r="B11" s="464" t="s">
        <v>969</v>
      </c>
      <c r="C11" s="464" t="s">
        <v>969</v>
      </c>
      <c r="D11" s="465">
        <v>-7.7654365415646076</v>
      </c>
      <c r="E11" s="465">
        <v>-15.42296672120807</v>
      </c>
      <c r="F11" s="465">
        <v>-13.114213284916584</v>
      </c>
      <c r="G11" s="465">
        <v>-7.6508933714476441</v>
      </c>
      <c r="H11" s="465">
        <v>-6.3459876921568155</v>
      </c>
      <c r="I11" s="465">
        <v>-9.0277198890997674</v>
      </c>
      <c r="J11" s="465">
        <v>-10.969578761090876</v>
      </c>
      <c r="K11" s="465">
        <v>-6.5473905422726268</v>
      </c>
      <c r="L11" s="465">
        <v>3.1277230889462166</v>
      </c>
      <c r="M11" s="465">
        <v>-6.4956557693460883</v>
      </c>
      <c r="N11" s="465">
        <v>-6.2273403707476529</v>
      </c>
      <c r="O11" s="465">
        <v>-6.3951298341881166</v>
      </c>
      <c r="P11" s="465">
        <v>-6.0845548796366318</v>
      </c>
      <c r="Q11" s="465">
        <v>-5.9036646563320323</v>
      </c>
      <c r="R11" s="465">
        <v>-5.6714020872866904</v>
      </c>
    </row>
    <row r="12" spans="2:21" ht="13.5" customHeight="1">
      <c r="B12" s="464" t="s">
        <v>970</v>
      </c>
      <c r="C12" s="464" t="s">
        <v>970</v>
      </c>
      <c r="D12" s="465">
        <v>-4.6766689259539627</v>
      </c>
      <c r="E12" s="465">
        <v>-1.1361355522827286</v>
      </c>
      <c r="F12" s="465">
        <v>-1.6778331305953975</v>
      </c>
      <c r="G12" s="465">
        <v>-2.9633561590097122</v>
      </c>
      <c r="H12" s="465">
        <v>7.0236451255119885</v>
      </c>
      <c r="I12" s="465">
        <v>6.356315434329872</v>
      </c>
      <c r="J12" s="465">
        <v>5.0291213861298356</v>
      </c>
      <c r="K12" s="465">
        <v>9.0102110458818974</v>
      </c>
      <c r="L12" s="465">
        <v>6.010683773192218</v>
      </c>
      <c r="M12" s="465">
        <v>3.9792969644189595</v>
      </c>
      <c r="N12" s="465">
        <v>3.1958270880968129</v>
      </c>
      <c r="O12" s="465">
        <v>2.6931179867714503</v>
      </c>
      <c r="P12" s="465">
        <v>2.330193068411456</v>
      </c>
      <c r="Q12" s="465">
        <v>2.0284724738473159</v>
      </c>
      <c r="R12" s="465">
        <v>1.9103881563022922</v>
      </c>
    </row>
    <row r="13" spans="2:21" ht="13.5" customHeight="1">
      <c r="B13" s="464" t="s">
        <v>971</v>
      </c>
      <c r="C13" s="464" t="s">
        <v>971</v>
      </c>
      <c r="D13" s="465">
        <v>-3.5000265396211852</v>
      </c>
      <c r="E13" s="465">
        <v>-4.4178280641647518</v>
      </c>
      <c r="F13" s="465">
        <v>-4.7621990449688152</v>
      </c>
      <c r="G13" s="465">
        <v>-4.2283788870827701</v>
      </c>
      <c r="H13" s="465">
        <v>-2.2379860925232387</v>
      </c>
      <c r="I13" s="465">
        <v>-0.40200295537415964</v>
      </c>
      <c r="J13" s="465">
        <v>-6.1785606111605871</v>
      </c>
      <c r="K13" s="465">
        <v>-2.5226167518105176</v>
      </c>
      <c r="L13" s="465">
        <v>-1.8378018591413667</v>
      </c>
      <c r="M13" s="465">
        <v>-1.3959874461400588</v>
      </c>
      <c r="N13" s="465">
        <v>-0.4411729018529949</v>
      </c>
      <c r="O13" s="465">
        <v>0.57889291418294142</v>
      </c>
      <c r="P13" s="465">
        <v>1.3614619820061984</v>
      </c>
      <c r="Q13" s="465">
        <v>1.9656533164083685</v>
      </c>
      <c r="R13" s="465">
        <v>2.044431195155195</v>
      </c>
    </row>
    <row r="14" spans="2:21" ht="13.5" customHeight="1">
      <c r="B14" s="464" t="s">
        <v>972</v>
      </c>
      <c r="C14" s="464" t="s">
        <v>972</v>
      </c>
      <c r="D14" s="465">
        <v>1.1273481996920549</v>
      </c>
      <c r="E14" s="465">
        <v>-1.2898554850407342</v>
      </c>
      <c r="F14" s="465">
        <v>0.30954293486598411</v>
      </c>
      <c r="G14" s="465">
        <v>1.6358158268159659</v>
      </c>
      <c r="H14" s="465">
        <v>3.7708413068141917</v>
      </c>
      <c r="I14" s="465">
        <v>2.6474441890446272</v>
      </c>
      <c r="J14" s="465">
        <v>-1.2131678697664587</v>
      </c>
      <c r="K14" s="465">
        <v>-0.19218475621573233</v>
      </c>
      <c r="L14" s="465">
        <v>-3.2149294161491064</v>
      </c>
      <c r="M14" s="465">
        <v>-0.22210029019900054</v>
      </c>
      <c r="N14" s="465">
        <v>1.1175570440758562</v>
      </c>
      <c r="O14" s="465">
        <v>2.0803381883016772</v>
      </c>
      <c r="P14" s="465">
        <v>2.0756050988878556</v>
      </c>
      <c r="Q14" s="465">
        <v>2.0093383101991336</v>
      </c>
      <c r="R14" s="465">
        <v>1.9265847315169997</v>
      </c>
    </row>
    <row r="15" spans="2:21" ht="13.5" customHeight="1">
      <c r="B15" s="464" t="s">
        <v>119</v>
      </c>
      <c r="C15" s="464" t="s">
        <v>119</v>
      </c>
      <c r="D15" s="465">
        <v>-0.5629894563766118</v>
      </c>
      <c r="E15" s="465">
        <v>-1.8554693999252236</v>
      </c>
      <c r="F15" s="465">
        <v>-2.4849992205993328</v>
      </c>
      <c r="G15" s="465">
        <v>-1.6792470346698884</v>
      </c>
      <c r="H15" s="465">
        <v>-1.5460139839023275</v>
      </c>
      <c r="I15" s="465">
        <v>-0.83684266336517643</v>
      </c>
      <c r="J15" s="465">
        <v>-9.2119123441471231</v>
      </c>
      <c r="K15" s="465">
        <v>0.73800972283639399</v>
      </c>
      <c r="L15" s="465">
        <v>1.3395024608853012</v>
      </c>
      <c r="M15" s="465">
        <v>-1.9522872103886635</v>
      </c>
      <c r="N15" s="465">
        <v>-1.0204683059069508</v>
      </c>
      <c r="O15" s="465">
        <v>-0.49143959920463887</v>
      </c>
      <c r="P15" s="465">
        <v>0.21565094786782199</v>
      </c>
      <c r="Q15" s="465">
        <v>0.78611090410398921</v>
      </c>
      <c r="R15" s="465">
        <v>1.4370721046773334</v>
      </c>
    </row>
    <row r="16" spans="2:21" ht="13.5" customHeight="1">
      <c r="B16" s="464" t="s">
        <v>427</v>
      </c>
      <c r="C16" s="464" t="s">
        <v>427</v>
      </c>
      <c r="D16" s="465">
        <v>-3.4321334879241818</v>
      </c>
      <c r="E16" s="465">
        <v>-2.4013915514738851</v>
      </c>
      <c r="F16" s="465">
        <v>1.8260021943906353</v>
      </c>
      <c r="G16" s="465">
        <v>1.1582541178266759</v>
      </c>
      <c r="H16" s="465">
        <v>0.33482394432949147</v>
      </c>
      <c r="I16" s="465">
        <v>-0.81430928353702303</v>
      </c>
      <c r="J16" s="465">
        <v>-2.8072740796336824</v>
      </c>
      <c r="K16" s="465">
        <v>-2.7550049234622001</v>
      </c>
      <c r="L16" s="465">
        <v>-0.82779863070138915</v>
      </c>
      <c r="M16" s="465">
        <v>-3.1769751309561576</v>
      </c>
      <c r="N16" s="465">
        <v>-2.472020052669837</v>
      </c>
      <c r="O16" s="465">
        <v>-2.0074813361369053</v>
      </c>
      <c r="P16" s="465">
        <v>-1.4072842949372579</v>
      </c>
      <c r="Q16" s="465">
        <v>-1.3544103574958002</v>
      </c>
      <c r="R16" s="465">
        <v>-1.3076908627939587</v>
      </c>
    </row>
    <row r="17" spans="2:18" ht="13.5" customHeight="1">
      <c r="B17" s="464" t="s">
        <v>973</v>
      </c>
      <c r="C17" s="464" t="s">
        <v>973</v>
      </c>
      <c r="D17" s="465">
        <v>-1.3523951272118335</v>
      </c>
      <c r="E17" s="465">
        <v>-1.8713092659561474</v>
      </c>
      <c r="F17" s="465">
        <v>-2.3773553794599613</v>
      </c>
      <c r="G17" s="465">
        <v>-2.2674931033528831</v>
      </c>
      <c r="H17" s="465">
        <v>-1.1119194500230585</v>
      </c>
      <c r="I17" s="465">
        <v>-2.3773673687138328</v>
      </c>
      <c r="J17" s="465">
        <v>-6.5684260913614123</v>
      </c>
      <c r="K17" s="465">
        <v>-6.8687048045214842</v>
      </c>
      <c r="L17" s="465">
        <v>0.94105434392359366</v>
      </c>
      <c r="M17" s="465">
        <v>-1.5013372391778708</v>
      </c>
      <c r="N17" s="465">
        <v>-0.92826384064171108</v>
      </c>
      <c r="O17" s="465">
        <v>-0.30197360505671716</v>
      </c>
      <c r="P17" s="465">
        <v>0.10495970424517337</v>
      </c>
      <c r="Q17" s="465">
        <v>0.36418192223712703</v>
      </c>
      <c r="R17" s="465">
        <v>0.60810982535636104</v>
      </c>
    </row>
    <row r="18" spans="2:18" ht="13.5" customHeight="1">
      <c r="B18" s="464" t="s">
        <v>111</v>
      </c>
      <c r="C18" s="464" t="s">
        <v>111</v>
      </c>
      <c r="D18" s="465">
        <v>-0.12827858738673822</v>
      </c>
      <c r="E18" s="465">
        <v>-2.030795361945315</v>
      </c>
      <c r="F18" s="465">
        <v>-2.7116072998947223</v>
      </c>
      <c r="G18" s="465">
        <v>-2.6467527896371403</v>
      </c>
      <c r="H18" s="465">
        <v>-3.4751361091382242</v>
      </c>
      <c r="I18" s="465">
        <v>-5.249709288044258</v>
      </c>
      <c r="J18" s="465">
        <v>-8.7613760067450848</v>
      </c>
      <c r="K18" s="465">
        <v>-5.132843828517462</v>
      </c>
      <c r="L18" s="465">
        <v>-6.6121079405829644</v>
      </c>
      <c r="M18" s="465">
        <v>-5.7736064695171034</v>
      </c>
      <c r="N18" s="465">
        <v>-5.1681822390384564</v>
      </c>
      <c r="O18" s="465">
        <v>-4.9046369556281633</v>
      </c>
      <c r="P18" s="465">
        <v>-4.5907811965828165</v>
      </c>
      <c r="Q18" s="465">
        <v>-4.273090550543424</v>
      </c>
      <c r="R18" s="465">
        <v>-4.1333012061918293</v>
      </c>
    </row>
    <row r="19" spans="2:18" ht="13.5" customHeight="1">
      <c r="B19" s="464" t="s">
        <v>480</v>
      </c>
      <c r="C19" s="464" t="s">
        <v>480</v>
      </c>
      <c r="D19" s="465">
        <v>-0.16052524289172154</v>
      </c>
      <c r="E19" s="465">
        <v>-1.7148588025704743</v>
      </c>
      <c r="F19" s="465">
        <v>-0.35068911982405437</v>
      </c>
      <c r="G19" s="465">
        <v>-0.49698955827972857</v>
      </c>
      <c r="H19" s="465">
        <v>-2.4925598595773337</v>
      </c>
      <c r="I19" s="465">
        <v>-1.0110687686269595</v>
      </c>
      <c r="J19" s="465">
        <v>-4.3621416432156179</v>
      </c>
      <c r="K19" s="465">
        <v>-4.3614790446826737</v>
      </c>
      <c r="L19" s="465">
        <v>-2.5282864795303879</v>
      </c>
      <c r="M19" s="465">
        <v>0.30198409818516453</v>
      </c>
      <c r="N19" s="465">
        <v>1.8570030026780326</v>
      </c>
      <c r="O19" s="465">
        <v>1.0604560208478784</v>
      </c>
      <c r="P19" s="465">
        <v>0.76881772252978753</v>
      </c>
      <c r="Q19" s="465">
        <v>0.63658167630791884</v>
      </c>
      <c r="R19" s="465">
        <v>0.62075930769348198</v>
      </c>
    </row>
    <row r="20" spans="2:18" ht="13.5" customHeight="1">
      <c r="B20" s="464" t="s">
        <v>975</v>
      </c>
      <c r="C20" s="464" t="s">
        <v>975</v>
      </c>
      <c r="D20" s="465">
        <v>-0.39946903630513525</v>
      </c>
      <c r="E20" s="465">
        <v>2.2802828066904453</v>
      </c>
      <c r="F20" s="465">
        <v>-0.57038310535472547</v>
      </c>
      <c r="G20" s="465">
        <v>-0.54115668123953586</v>
      </c>
      <c r="H20" s="465">
        <v>0.42819643770790528</v>
      </c>
      <c r="I20" s="465">
        <v>0.5502460740492674</v>
      </c>
      <c r="J20" s="465">
        <v>-4.6651251117655956</v>
      </c>
      <c r="K20" s="465">
        <v>0.18493003272486305</v>
      </c>
      <c r="L20" s="465">
        <v>-0.45695342101064568</v>
      </c>
      <c r="M20" s="465">
        <v>0.15180794558543265</v>
      </c>
      <c r="N20" s="465">
        <v>0.46449391406687124</v>
      </c>
      <c r="O20" s="465">
        <v>0.77734900400479068</v>
      </c>
      <c r="P20" s="465">
        <v>0.85829930390608433</v>
      </c>
      <c r="Q20" s="465">
        <v>0.91734128803757464</v>
      </c>
      <c r="R20" s="465">
        <v>0.91909136272621139</v>
      </c>
    </row>
    <row r="21" spans="2:18" ht="14.45" customHeight="1">
      <c r="B21" s="464" t="s">
        <v>1004</v>
      </c>
      <c r="C21" s="464" t="s">
        <v>977</v>
      </c>
      <c r="D21" s="465">
        <v>-7.4574380640263378</v>
      </c>
      <c r="E21" s="465">
        <v>-5.8517664850883513</v>
      </c>
      <c r="F21" s="465">
        <v>-8.5963796787527365</v>
      </c>
      <c r="G21" s="465">
        <v>-3.7270995783340486</v>
      </c>
      <c r="H21" s="465">
        <v>-0.32712144472707272</v>
      </c>
      <c r="I21" s="465">
        <v>-0.75147198560657036</v>
      </c>
      <c r="J21" s="465">
        <v>-4.324335827950673</v>
      </c>
      <c r="K21" s="465">
        <v>-0.31307554771806456</v>
      </c>
      <c r="L21" s="465">
        <v>1.6104793298608679</v>
      </c>
      <c r="M21" s="465" t="s">
        <v>145</v>
      </c>
      <c r="N21" s="465" t="s">
        <v>145</v>
      </c>
      <c r="O21" s="465" t="s">
        <v>145</v>
      </c>
      <c r="P21" s="465" t="s">
        <v>145</v>
      </c>
      <c r="Q21" s="465" t="s">
        <v>145</v>
      </c>
      <c r="R21" s="465" t="s">
        <v>145</v>
      </c>
    </row>
    <row r="22" spans="2:18" ht="16.149999999999999" customHeight="1">
      <c r="B22" s="464" t="s">
        <v>978</v>
      </c>
      <c r="C22" s="464" t="s">
        <v>978</v>
      </c>
      <c r="D22" s="465">
        <v>-4.031237146273817</v>
      </c>
      <c r="E22" s="465">
        <v>-3.9079521356934057</v>
      </c>
      <c r="F22" s="465">
        <v>-4.0841160655050803</v>
      </c>
      <c r="G22" s="465">
        <v>-2.3806778084739735</v>
      </c>
      <c r="H22" s="465">
        <v>-0.40127298444130133</v>
      </c>
      <c r="I22" s="465">
        <v>1.2878949249463902</v>
      </c>
      <c r="J22" s="465">
        <v>1.1879839417482041</v>
      </c>
      <c r="K22" s="465">
        <v>1.0706382914859449</v>
      </c>
      <c r="L22" s="465">
        <v>0.42873573477845073</v>
      </c>
      <c r="M22" s="465">
        <v>1.6069135458642987</v>
      </c>
      <c r="N22" s="465">
        <v>2.1727604783368859</v>
      </c>
      <c r="O22" s="465">
        <v>2.2005418960010066</v>
      </c>
      <c r="P22" s="465">
        <v>2.2514184061888289</v>
      </c>
      <c r="Q22" s="465">
        <v>2.413996900696163</v>
      </c>
      <c r="R22" s="465">
        <v>2.4934284681978394</v>
      </c>
    </row>
    <row r="23" spans="2:18" ht="13.5" customHeight="1">
      <c r="B23" s="464" t="s">
        <v>450</v>
      </c>
      <c r="C23" s="464" t="s">
        <v>450</v>
      </c>
      <c r="D23" s="465">
        <v>0.96709109457981135</v>
      </c>
      <c r="E23" s="465">
        <v>1.3147962233205901</v>
      </c>
      <c r="F23" s="465">
        <v>1.1998489449429008</v>
      </c>
      <c r="G23" s="465">
        <v>0.12049953612698354</v>
      </c>
      <c r="H23" s="465">
        <v>0.15528217517756412</v>
      </c>
      <c r="I23" s="465">
        <v>0.13506828899723877</v>
      </c>
      <c r="J23" s="465">
        <v>-5.3495792098851789</v>
      </c>
      <c r="K23" s="465">
        <v>-5.0497191312030365</v>
      </c>
      <c r="L23" s="465">
        <v>-3.7286244440385237</v>
      </c>
      <c r="M23" s="465">
        <v>-0.77489847092692121</v>
      </c>
      <c r="N23" s="465">
        <v>0.61497359578958244</v>
      </c>
      <c r="O23" s="465">
        <v>0.26883059859217301</v>
      </c>
      <c r="P23" s="465">
        <v>0.72186739054725768</v>
      </c>
      <c r="Q23" s="465">
        <v>0.62851725388214663</v>
      </c>
      <c r="R23" s="465">
        <v>0.98795396976397321</v>
      </c>
    </row>
    <row r="24" spans="2:18" ht="13.5" customHeight="1">
      <c r="B24" s="464" t="s">
        <v>112</v>
      </c>
      <c r="C24" s="464" t="s">
        <v>112</v>
      </c>
      <c r="D24" s="465">
        <v>-2.5739956656902976</v>
      </c>
      <c r="E24" s="465">
        <v>-2.6837530415259514</v>
      </c>
      <c r="F24" s="465">
        <v>-2.5187156378981621</v>
      </c>
      <c r="G24" s="465">
        <v>-1.4964629339662165</v>
      </c>
      <c r="H24" s="465">
        <v>-1.6705847485268261</v>
      </c>
      <c r="I24" s="465">
        <v>-3.0013096914531188</v>
      </c>
      <c r="J24" s="465">
        <v>-7.2650442134692348</v>
      </c>
      <c r="K24" s="465">
        <v>-4.4856304771783169</v>
      </c>
      <c r="L24" s="465">
        <v>-4.4187076435634021</v>
      </c>
      <c r="M24" s="465">
        <v>-3.5772962592200379</v>
      </c>
      <c r="N24" s="465">
        <v>-2.8905932653751494</v>
      </c>
      <c r="O24" s="465">
        <v>-2.4659612132985522</v>
      </c>
      <c r="P24" s="465">
        <v>-2.2334417455078097</v>
      </c>
      <c r="Q24" s="465">
        <v>-2.1164384812458437</v>
      </c>
      <c r="R24" s="465">
        <v>-1.9965003427153123</v>
      </c>
    </row>
    <row r="25" spans="2:18" ht="13.5" customHeight="1">
      <c r="B25" s="464" t="s">
        <v>281</v>
      </c>
      <c r="C25" s="464" t="s">
        <v>281</v>
      </c>
      <c r="D25" s="465">
        <v>-0.88318194325815313</v>
      </c>
      <c r="E25" s="465">
        <v>-1.2499985389585921</v>
      </c>
      <c r="F25" s="465">
        <v>-1.0125981286982939</v>
      </c>
      <c r="G25" s="465">
        <v>-0.91545692157037739</v>
      </c>
      <c r="H25" s="465">
        <v>-6.7191259159460531E-2</v>
      </c>
      <c r="I25" s="465">
        <v>-0.42100520903800659</v>
      </c>
      <c r="J25" s="465">
        <v>-4.0621586302441104</v>
      </c>
      <c r="K25" s="465">
        <v>-2.5166854205901013</v>
      </c>
      <c r="L25" s="465">
        <v>-0.36872042567788021</v>
      </c>
      <c r="M25" s="465">
        <v>-0.52817864130141357</v>
      </c>
      <c r="N25" s="465">
        <v>-0.27098219434648796</v>
      </c>
      <c r="O25" s="465">
        <v>-0.11821617243579932</v>
      </c>
      <c r="P25" s="465">
        <v>-5.1895268069893918E-2</v>
      </c>
      <c r="Q25" s="465">
        <v>4.6077310893291026E-4</v>
      </c>
      <c r="R25" s="465">
        <v>2.1088475373739819E-2</v>
      </c>
    </row>
    <row r="26" spans="2:18" ht="13.5" customHeight="1">
      <c r="B26" s="464" t="s">
        <v>979</v>
      </c>
      <c r="C26" s="464" t="s">
        <v>979</v>
      </c>
      <c r="D26" s="465">
        <v>-0.96608522706919908</v>
      </c>
      <c r="E26" s="465">
        <v>-1.4026365864669428</v>
      </c>
      <c r="F26" s="465">
        <v>-1.3494959965933448</v>
      </c>
      <c r="G26" s="465">
        <v>-0.95304490651775697</v>
      </c>
      <c r="H26" s="465">
        <v>-0.61666029158238655</v>
      </c>
      <c r="I26" s="465">
        <v>-3.5374829775823513</v>
      </c>
      <c r="J26" s="465">
        <v>-4.6334883735869949</v>
      </c>
      <c r="K26" s="465">
        <v>-3.088555132044013</v>
      </c>
      <c r="L26" s="465">
        <v>-3.0870703020533483</v>
      </c>
      <c r="M26" s="465">
        <v>-3.2354140402643665</v>
      </c>
      <c r="N26" s="465">
        <v>-3.1453671744710907</v>
      </c>
      <c r="O26" s="465">
        <v>-3.0175812759623866</v>
      </c>
      <c r="P26" s="465">
        <v>-2.8894442102971092</v>
      </c>
      <c r="Q26" s="465">
        <v>-2.7373100359968814</v>
      </c>
      <c r="R26" s="465">
        <v>-2.5662859394673432</v>
      </c>
    </row>
    <row r="27" spans="2:18" ht="13.5" customHeight="1">
      <c r="B27" s="464" t="s">
        <v>980</v>
      </c>
      <c r="C27" s="464" t="s">
        <v>980</v>
      </c>
      <c r="D27" s="465">
        <v>2.0139811583898917</v>
      </c>
      <c r="E27" s="465">
        <v>-5.8874533138398171</v>
      </c>
      <c r="F27" s="465">
        <v>-4.278950741660573</v>
      </c>
      <c r="G27" s="465">
        <v>-5.229171333364822</v>
      </c>
      <c r="H27" s="465">
        <v>1.7863881273564304</v>
      </c>
      <c r="I27" s="465">
        <v>-0.76473985008657686</v>
      </c>
      <c r="J27" s="465">
        <v>-7.6805645597221792</v>
      </c>
      <c r="K27" s="465">
        <v>-4.3608452950145669</v>
      </c>
      <c r="L27" s="465">
        <v>0.81868109229476649</v>
      </c>
      <c r="M27" s="465">
        <v>-0.7360964815954173</v>
      </c>
      <c r="N27" s="465">
        <v>0.19642850130707634</v>
      </c>
      <c r="O27" s="465">
        <v>0.43302469438793673</v>
      </c>
      <c r="P27" s="465">
        <v>0.15057355384770521</v>
      </c>
      <c r="Q27" s="465">
        <v>0.11189425476737952</v>
      </c>
      <c r="R27" s="465">
        <v>-0.15966119454958747</v>
      </c>
    </row>
    <row r="28" spans="2:18" ht="15" customHeight="1">
      <c r="B28" s="464" t="s">
        <v>1005</v>
      </c>
      <c r="C28" s="464" t="s">
        <v>981</v>
      </c>
      <c r="D28" s="465">
        <v>12.676354399519644</v>
      </c>
      <c r="E28" s="465">
        <v>-7.4967395075378764</v>
      </c>
      <c r="F28" s="465">
        <v>-13.975260582500889</v>
      </c>
      <c r="G28" s="465">
        <v>-9.6056605988112267</v>
      </c>
      <c r="H28" s="465">
        <v>-4.0892239926528289</v>
      </c>
      <c r="I28" s="465">
        <v>-8.354285848103558</v>
      </c>
      <c r="J28" s="465">
        <v>-28.050932874959905</v>
      </c>
      <c r="K28" s="465">
        <v>-11.637024573654827</v>
      </c>
      <c r="L28" s="465">
        <v>0.55828136849832133</v>
      </c>
      <c r="M28" s="465">
        <v>-5.7768160350183964</v>
      </c>
      <c r="N28" s="465">
        <v>-8.714071516960189</v>
      </c>
      <c r="O28" s="465">
        <v>-10.131555562289577</v>
      </c>
      <c r="P28" s="465">
        <v>-12.438549343617817</v>
      </c>
      <c r="Q28" s="465">
        <v>-14.845008136426822</v>
      </c>
      <c r="R28" s="465">
        <v>-16.117807437100424</v>
      </c>
    </row>
    <row r="29" spans="2:18" ht="13.5" customHeight="1">
      <c r="B29" s="464" t="s">
        <v>982</v>
      </c>
      <c r="C29" s="464" t="s">
        <v>982</v>
      </c>
      <c r="D29" s="465">
        <v>2.4920002299906217</v>
      </c>
      <c r="E29" s="465">
        <v>1.4465151193070096</v>
      </c>
      <c r="F29" s="465">
        <v>0.43447247260229555</v>
      </c>
      <c r="G29" s="465">
        <v>0.75658728086688565</v>
      </c>
      <c r="H29" s="465">
        <v>-1.4450268232564882</v>
      </c>
      <c r="I29" s="465">
        <v>-0.32197241757693651</v>
      </c>
      <c r="J29" s="465">
        <v>-0.47650888192267504</v>
      </c>
      <c r="K29" s="465" t="s">
        <v>145</v>
      </c>
      <c r="L29" s="465" t="s">
        <v>145</v>
      </c>
      <c r="M29" s="465" t="s">
        <v>145</v>
      </c>
      <c r="N29" s="465" t="s">
        <v>145</v>
      </c>
      <c r="O29" s="465" t="s">
        <v>145</v>
      </c>
      <c r="P29" s="465" t="s">
        <v>145</v>
      </c>
      <c r="Q29" s="465" t="s">
        <v>145</v>
      </c>
      <c r="R29" s="465" t="s">
        <v>145</v>
      </c>
    </row>
    <row r="30" spans="2:18" ht="13.5" customHeight="1">
      <c r="B30" s="464" t="s">
        <v>984</v>
      </c>
      <c r="C30" s="464" t="s">
        <v>984</v>
      </c>
      <c r="D30" s="465">
        <v>-0.90623816294590909</v>
      </c>
      <c r="E30" s="465">
        <v>-0.93285634683822738</v>
      </c>
      <c r="F30" s="465">
        <v>-0.75897893538222283</v>
      </c>
      <c r="G30" s="465">
        <v>-0.61598524993022696</v>
      </c>
      <c r="H30" s="465">
        <v>-0.75763827575952747</v>
      </c>
      <c r="I30" s="465">
        <v>2.6502131007940712E-2</v>
      </c>
      <c r="J30" s="465">
        <v>-3.1365200075706965</v>
      </c>
      <c r="K30" s="465">
        <v>-3.6604315240668339</v>
      </c>
      <c r="L30" s="465">
        <v>-3.1703410237011411</v>
      </c>
      <c r="M30" s="465">
        <v>-2.4710887738348037</v>
      </c>
      <c r="N30" s="465">
        <v>-2.0364464285589712</v>
      </c>
      <c r="O30" s="465">
        <v>-1.8650253712364961</v>
      </c>
      <c r="P30" s="465">
        <v>-1.6652224677137388</v>
      </c>
      <c r="Q30" s="465">
        <v>-1.64541333752443</v>
      </c>
      <c r="R30" s="465">
        <v>-1.6140087577950073</v>
      </c>
    </row>
    <row r="31" spans="2:18" ht="13.5" customHeight="1">
      <c r="B31" s="464" t="s">
        <v>120</v>
      </c>
      <c r="C31" s="464" t="s">
        <v>120</v>
      </c>
      <c r="D31" s="465">
        <v>-1.7470223087006009</v>
      </c>
      <c r="E31" s="465">
        <v>-1.2076752221272704</v>
      </c>
      <c r="F31" s="465">
        <v>0.35210092038113083</v>
      </c>
      <c r="G31" s="465">
        <v>2.6156820491472708</v>
      </c>
      <c r="H31" s="465">
        <v>1.5787645153043655</v>
      </c>
      <c r="I31" s="465">
        <v>1.4046280412056424</v>
      </c>
      <c r="J31" s="465">
        <v>-0.51368403917254635</v>
      </c>
      <c r="K31" s="465">
        <v>-1.3797418288252853E-2</v>
      </c>
      <c r="L31" s="465">
        <v>-5.8549765962691021E-2</v>
      </c>
      <c r="M31" s="465">
        <v>0.22699825664224521</v>
      </c>
      <c r="N31" s="465">
        <v>1.7323871725905686</v>
      </c>
      <c r="O31" s="465">
        <v>1.8316879841588456</v>
      </c>
      <c r="P31" s="465">
        <v>1.7863717073280012</v>
      </c>
      <c r="Q31" s="465">
        <v>1.6661519289488396</v>
      </c>
      <c r="R31" s="465">
        <v>1.5646422010326022</v>
      </c>
    </row>
    <row r="32" spans="2:18" ht="13.5" customHeight="1">
      <c r="B32" s="464" t="s">
        <v>985</v>
      </c>
      <c r="C32" s="464" t="s">
        <v>985</v>
      </c>
      <c r="D32" s="465">
        <v>-2.220082000770879</v>
      </c>
      <c r="E32" s="465">
        <v>-1.9831582737049442</v>
      </c>
      <c r="F32" s="465">
        <v>-1.9682832700783823</v>
      </c>
      <c r="G32" s="465">
        <v>-0.87612009800721558</v>
      </c>
      <c r="H32" s="465">
        <v>-1.1772778118481941</v>
      </c>
      <c r="I32" s="465">
        <v>-1.4263861510715934</v>
      </c>
      <c r="J32" s="465">
        <v>-4.6497073175146379</v>
      </c>
      <c r="K32" s="465">
        <v>-3.8299245730207558</v>
      </c>
      <c r="L32" s="465">
        <v>-3.0491416323066289</v>
      </c>
      <c r="M32" s="465">
        <v>-2.5822685610750016</v>
      </c>
      <c r="N32" s="465">
        <v>-2.0691341887924741</v>
      </c>
      <c r="O32" s="465">
        <v>-1.4754161091691764</v>
      </c>
      <c r="P32" s="465">
        <v>-0.97008839142771852</v>
      </c>
      <c r="Q32" s="465">
        <v>-0.77302335313917359</v>
      </c>
      <c r="R32" s="465">
        <v>-0.88009425738214908</v>
      </c>
    </row>
    <row r="33" spans="2:27" ht="13.5" customHeight="1">
      <c r="B33" s="464" t="s">
        <v>986</v>
      </c>
      <c r="C33" s="464" t="s">
        <v>986</v>
      </c>
      <c r="D33" s="465">
        <v>-1.8663763433111717</v>
      </c>
      <c r="E33" s="465">
        <v>-14.074799835549076</v>
      </c>
      <c r="F33" s="465">
        <v>-20.01313143472855</v>
      </c>
      <c r="G33" s="465">
        <v>-11.089087610274168</v>
      </c>
      <c r="H33" s="465">
        <v>-5.2136145590874223</v>
      </c>
      <c r="I33" s="465">
        <v>-4.6336113304757722</v>
      </c>
      <c r="J33" s="465">
        <v>-13.33299760536466</v>
      </c>
      <c r="K33" s="465">
        <v>-0.96810546508678907</v>
      </c>
      <c r="L33" s="465">
        <v>8.2244031445199983</v>
      </c>
      <c r="M33" s="465">
        <v>2.5468177390061597</v>
      </c>
      <c r="N33" s="465">
        <v>3.1623734555525305</v>
      </c>
      <c r="O33" s="465">
        <v>2.6970777625918569</v>
      </c>
      <c r="P33" s="465">
        <v>2.3401547428899669</v>
      </c>
      <c r="Q33" s="465">
        <v>2.1102004696485164</v>
      </c>
      <c r="R33" s="465">
        <v>1.8567003351883131</v>
      </c>
    </row>
    <row r="34" spans="2:27" ht="13.5" customHeight="1">
      <c r="B34" s="464" t="s">
        <v>987</v>
      </c>
      <c r="C34" s="464" t="s">
        <v>987</v>
      </c>
      <c r="D34" s="465">
        <v>-0.259364037754581</v>
      </c>
      <c r="E34" s="465">
        <v>-0.44718381651415406</v>
      </c>
      <c r="F34" s="465">
        <v>-6.2652312606162941E-2</v>
      </c>
      <c r="G34" s="465">
        <v>-1.378501097198509</v>
      </c>
      <c r="H34" s="465">
        <v>-1.8459671021625264</v>
      </c>
      <c r="I34" s="465">
        <v>-3.0146968150732261</v>
      </c>
      <c r="J34" s="465">
        <v>-1.5204875498652106</v>
      </c>
      <c r="K34" s="465">
        <v>-1.1174195632032431</v>
      </c>
      <c r="L34" s="465">
        <v>-3.0401258360064052</v>
      </c>
      <c r="M34" s="465">
        <v>-0.51059109593247476</v>
      </c>
      <c r="N34" s="465">
        <v>-0.40051483939861632</v>
      </c>
      <c r="O34" s="465">
        <v>-0.41228260839046244</v>
      </c>
      <c r="P34" s="465">
        <v>-0.41368651240872512</v>
      </c>
      <c r="Q34" s="465">
        <v>-0.41465119140703138</v>
      </c>
      <c r="R34" s="465">
        <v>-0.41295001239276047</v>
      </c>
    </row>
    <row r="35" spans="2:27" ht="13.5" customHeight="1">
      <c r="B35" s="464" t="s">
        <v>988</v>
      </c>
      <c r="C35" s="464" t="s">
        <v>988</v>
      </c>
      <c r="D35" s="465">
        <v>0.6926600540532053</v>
      </c>
      <c r="E35" s="465">
        <v>-1.2090638928737383</v>
      </c>
      <c r="F35" s="465">
        <v>-1.3083731936341685</v>
      </c>
      <c r="G35" s="465">
        <v>-1.9109927095259109</v>
      </c>
      <c r="H35" s="465">
        <v>-0.85409122933038062</v>
      </c>
      <c r="I35" s="465">
        <v>-0.18064220069709869</v>
      </c>
      <c r="J35" s="465">
        <v>-6.9177355345849234</v>
      </c>
      <c r="K35" s="465">
        <v>-1.2465002057854555</v>
      </c>
      <c r="L35" s="465">
        <v>1.3218256432045839E-2</v>
      </c>
      <c r="M35" s="465">
        <v>-0.5477927311354116</v>
      </c>
      <c r="N35" s="465">
        <v>-0.51857402044293233</v>
      </c>
      <c r="O35" s="465">
        <v>-2.0487691505019105E-2</v>
      </c>
      <c r="P35" s="465">
        <v>0.52771311221594197</v>
      </c>
      <c r="Q35" s="465">
        <v>0.59190139988081425</v>
      </c>
      <c r="R35" s="465">
        <v>0.55535408315683799</v>
      </c>
    </row>
    <row r="36" spans="2:27" ht="13.5" customHeight="1">
      <c r="B36" s="464" t="s">
        <v>989</v>
      </c>
      <c r="C36" s="464" t="s">
        <v>989</v>
      </c>
      <c r="D36" s="465">
        <v>2.9524999464124924</v>
      </c>
      <c r="E36" s="465">
        <v>2.4428807273376636</v>
      </c>
      <c r="F36" s="465">
        <v>0.94915112338202912</v>
      </c>
      <c r="G36" s="465">
        <v>0.87594363152119314</v>
      </c>
      <c r="H36" s="465">
        <v>0.16901620657180469</v>
      </c>
      <c r="I36" s="465">
        <v>0.10631373428535063</v>
      </c>
      <c r="J36" s="465">
        <v>-3.7245262819746383</v>
      </c>
      <c r="K36" s="465">
        <v>-4.5041993321766851</v>
      </c>
      <c r="L36" s="465">
        <v>-3.3613227955243032</v>
      </c>
      <c r="M36" s="465">
        <v>-2.2283278277033758</v>
      </c>
      <c r="N36" s="465">
        <v>-1.7478389143148501</v>
      </c>
      <c r="O36" s="465">
        <v>-1.1951056884650317</v>
      </c>
      <c r="P36" s="465">
        <v>-0.97915235951195678</v>
      </c>
      <c r="Q36" s="465">
        <v>-0.67300759679199618</v>
      </c>
      <c r="R36" s="465">
        <v>-0.47232725523685276</v>
      </c>
    </row>
    <row r="37" spans="2:27" ht="13.5" customHeight="1">
      <c r="B37" s="464" t="s">
        <v>426</v>
      </c>
      <c r="C37" s="464" t="s">
        <v>426</v>
      </c>
      <c r="D37" s="465">
        <v>-1.6906801396228743</v>
      </c>
      <c r="E37" s="465">
        <v>-0.83945770367333217</v>
      </c>
      <c r="F37" s="465">
        <v>-0.68281710241538862</v>
      </c>
      <c r="G37" s="465">
        <v>7.9433365241169784E-2</v>
      </c>
      <c r="H37" s="465">
        <v>1.1939770699031487</v>
      </c>
      <c r="I37" s="465">
        <v>0.63517815532483013</v>
      </c>
      <c r="J37" s="465">
        <v>-5.6122510963473227</v>
      </c>
      <c r="K37" s="465">
        <v>-0.72779657367382533</v>
      </c>
      <c r="L37" s="465">
        <v>-1.693325481820539</v>
      </c>
      <c r="M37" s="465">
        <v>-2.6913173392531284</v>
      </c>
      <c r="N37" s="465">
        <v>-2.0493926352160328</v>
      </c>
      <c r="O37" s="465">
        <v>-1.9918943178645547</v>
      </c>
      <c r="P37" s="465">
        <v>-2.0776671624463123</v>
      </c>
      <c r="Q37" s="465">
        <v>-1.7105571189377726</v>
      </c>
      <c r="R37" s="465">
        <v>-1.3299205361250459</v>
      </c>
    </row>
    <row r="38" spans="2:27" ht="13.5" customHeight="1">
      <c r="B38" s="464" t="s">
        <v>990</v>
      </c>
      <c r="C38" s="464" t="s">
        <v>990</v>
      </c>
      <c r="D38" s="465">
        <v>16.574484369732154</v>
      </c>
      <c r="E38" s="465">
        <v>23.14344535871728</v>
      </c>
      <c r="F38" s="465">
        <v>-3.4100866283012095</v>
      </c>
      <c r="G38" s="465">
        <v>-1.1672136170615315</v>
      </c>
      <c r="H38" s="465">
        <v>7.3274681496051572</v>
      </c>
      <c r="I38" s="465">
        <v>6.5543669814200554</v>
      </c>
      <c r="J38" s="465">
        <v>3.5970220592968531</v>
      </c>
      <c r="K38" s="465">
        <v>6.1235111414008685</v>
      </c>
      <c r="L38" s="465">
        <v>15.620292630462615</v>
      </c>
      <c r="M38" s="465">
        <v>16.15286333170809</v>
      </c>
      <c r="N38" s="465">
        <v>12.41738874783859</v>
      </c>
      <c r="O38" s="465">
        <v>11.333991874514687</v>
      </c>
      <c r="P38" s="465">
        <v>11.426869961920859</v>
      </c>
      <c r="Q38" s="465">
        <v>13.118243171078811</v>
      </c>
      <c r="R38" s="465">
        <v>14.223409294934481</v>
      </c>
    </row>
    <row r="39" spans="2:27" ht="13.5" customHeight="1">
      <c r="B39" s="464" t="s">
        <v>445</v>
      </c>
      <c r="C39" s="464" t="s">
        <v>445</v>
      </c>
      <c r="D39" s="465">
        <v>-0.48052408322335532</v>
      </c>
      <c r="E39" s="465">
        <v>-0.10769410395702625</v>
      </c>
      <c r="F39" s="465">
        <v>-1.2565371006339094</v>
      </c>
      <c r="G39" s="465">
        <v>-1.7651257319590798</v>
      </c>
      <c r="H39" s="465">
        <v>-1.4029509381921959</v>
      </c>
      <c r="I39" s="465">
        <v>-3.4259386605628972</v>
      </c>
      <c r="J39" s="465">
        <v>-8.250521570975847</v>
      </c>
      <c r="K39" s="465">
        <v>-5.2643902329362078</v>
      </c>
      <c r="L39" s="465">
        <v>-3.7523403957667822</v>
      </c>
      <c r="M39" s="465">
        <v>-3.7437870500231294</v>
      </c>
      <c r="N39" s="465">
        <v>-3.3296217267975812</v>
      </c>
      <c r="O39" s="465">
        <v>-3.1909708978213374</v>
      </c>
      <c r="P39" s="465">
        <v>-2.8089747160723233</v>
      </c>
      <c r="Q39" s="465">
        <v>-2.8411337294551688</v>
      </c>
      <c r="R39" s="465">
        <v>-2.7725039507148517</v>
      </c>
    </row>
    <row r="40" spans="2:27" ht="13.5" customHeight="1">
      <c r="B40" s="464" t="s">
        <v>116</v>
      </c>
      <c r="C40" s="464" t="s">
        <v>116</v>
      </c>
      <c r="D40" s="465">
        <v>-0.6768309283110312</v>
      </c>
      <c r="E40" s="465">
        <v>-3.1358105021912732</v>
      </c>
      <c r="F40" s="465">
        <v>-3.2352466255505314</v>
      </c>
      <c r="G40" s="465">
        <v>-0.95950005542311501</v>
      </c>
      <c r="H40" s="465">
        <v>3.4246533392875458</v>
      </c>
      <c r="I40" s="465">
        <v>2.1997245901954843</v>
      </c>
      <c r="J40" s="465">
        <v>-3.7456125125846307</v>
      </c>
      <c r="K40" s="465">
        <v>1.1072853962124045</v>
      </c>
      <c r="L40" s="465">
        <v>-1.9927290241764182</v>
      </c>
      <c r="M40" s="465">
        <v>-5.8895030749678119</v>
      </c>
      <c r="N40" s="465">
        <v>-2.411207448201456</v>
      </c>
      <c r="O40" s="465">
        <v>-1.4373822010562789</v>
      </c>
      <c r="P40" s="465">
        <v>-0.39822126992510898</v>
      </c>
      <c r="Q40" s="465">
        <v>-8.2891802414223711E-2</v>
      </c>
      <c r="R40" s="465">
        <v>0.45081558066624927</v>
      </c>
    </row>
    <row r="41" spans="2:27" ht="13.5" customHeight="1">
      <c r="B41" s="464" t="s">
        <v>123</v>
      </c>
      <c r="C41" s="464" t="s">
        <v>123</v>
      </c>
      <c r="D41" s="465">
        <v>-4.1908729425752522</v>
      </c>
      <c r="E41" s="465">
        <v>-17.451867465848366</v>
      </c>
      <c r="F41" s="465">
        <v>-16.524810002467667</v>
      </c>
      <c r="G41" s="465">
        <v>-11.266223918370375</v>
      </c>
      <c r="H41" s="465">
        <v>-6.0384497505109946</v>
      </c>
      <c r="I41" s="465">
        <v>-4.2343749006239229</v>
      </c>
      <c r="J41" s="465">
        <v>-12.479183648417839</v>
      </c>
      <c r="K41" s="465">
        <v>-2.028246363899278</v>
      </c>
      <c r="L41" s="465">
        <v>2.7513034103872425</v>
      </c>
      <c r="M41" s="465">
        <v>-0.60980982165086028</v>
      </c>
      <c r="N41" s="465">
        <v>-0.69530250355239231</v>
      </c>
      <c r="O41" s="465">
        <v>-0.29792691004898325</v>
      </c>
      <c r="P41" s="465">
        <v>0.19994665806490425</v>
      </c>
      <c r="Q41" s="465">
        <v>0.36635318222390073</v>
      </c>
      <c r="R41" s="465">
        <v>9.8857824740641295E-2</v>
      </c>
    </row>
    <row r="42" spans="2:27" ht="13.5" customHeight="1">
      <c r="B42" s="464" t="s">
        <v>124</v>
      </c>
      <c r="C42" s="464" t="s">
        <v>124</v>
      </c>
      <c r="D42" s="465">
        <v>-1.1564858971235932</v>
      </c>
      <c r="E42" s="465">
        <v>-1.4400337111463939</v>
      </c>
      <c r="F42" s="465">
        <v>-0.61742268972624537</v>
      </c>
      <c r="G42" s="465">
        <v>-0.76245453351400139</v>
      </c>
      <c r="H42" s="465">
        <v>-0.35358193530655629</v>
      </c>
      <c r="I42" s="465">
        <v>-1.1320298192001126</v>
      </c>
      <c r="J42" s="465">
        <v>-5.5416315992539742</v>
      </c>
      <c r="K42" s="465">
        <v>-1.3153318604756692</v>
      </c>
      <c r="L42" s="465">
        <v>6.3568500956820248E-2</v>
      </c>
      <c r="M42" s="465">
        <v>-0.79588622674152698</v>
      </c>
      <c r="N42" s="465">
        <v>-0.61048388452934499</v>
      </c>
      <c r="O42" s="465">
        <v>-0.74535879588072984</v>
      </c>
      <c r="P42" s="465">
        <v>0.28703826605280952</v>
      </c>
      <c r="Q42" s="465">
        <v>0.74616673701165348</v>
      </c>
      <c r="R42" s="465">
        <v>0.87956561163518832</v>
      </c>
    </row>
    <row r="43" spans="2:27" ht="13.5" customHeight="1">
      <c r="B43" s="464" t="s">
        <v>991</v>
      </c>
      <c r="C43" s="464" t="s">
        <v>991</v>
      </c>
      <c r="D43" s="465">
        <v>-1.9416922684002098</v>
      </c>
      <c r="E43" s="465">
        <v>-2.0809308422322941</v>
      </c>
      <c r="F43" s="465">
        <v>-0.22969686819000801</v>
      </c>
      <c r="G43" s="465">
        <v>1.4401571272590815E-2</v>
      </c>
      <c r="H43" s="465">
        <v>0.59550151791950123</v>
      </c>
      <c r="I43" s="465">
        <v>-1.854256127629442</v>
      </c>
      <c r="J43" s="465">
        <v>-5.8717388198593667</v>
      </c>
      <c r="K43" s="465">
        <v>-5.7082004634890691</v>
      </c>
      <c r="L43" s="465">
        <v>-3.7790084747834825</v>
      </c>
      <c r="M43" s="465" t="s">
        <v>145</v>
      </c>
      <c r="N43" s="465" t="s">
        <v>145</v>
      </c>
      <c r="O43" s="465" t="s">
        <v>145</v>
      </c>
      <c r="P43" s="465" t="s">
        <v>145</v>
      </c>
      <c r="Q43" s="465" t="s">
        <v>145</v>
      </c>
      <c r="R43" s="465" t="s">
        <v>145</v>
      </c>
    </row>
    <row r="44" spans="2:27" ht="13.5" customHeight="1">
      <c r="B44" s="464" t="s">
        <v>992</v>
      </c>
      <c r="C44" s="464" t="s">
        <v>992</v>
      </c>
      <c r="D44" s="465">
        <v>-6.0616309315840826E-2</v>
      </c>
      <c r="E44" s="465">
        <v>0.71290553004801926</v>
      </c>
      <c r="F44" s="465">
        <v>0.97065963076772199</v>
      </c>
      <c r="G44" s="465">
        <v>7.6818138347003712E-2</v>
      </c>
      <c r="H44" s="465">
        <v>0.62224728921616645</v>
      </c>
      <c r="I44" s="465">
        <v>-0.27673327798741199</v>
      </c>
      <c r="J44" s="465">
        <v>-4.2395717651781153</v>
      </c>
      <c r="K44" s="465">
        <v>-6.2408543589958505</v>
      </c>
      <c r="L44" s="465">
        <v>-4.3759571834629876</v>
      </c>
      <c r="M44" s="465">
        <v>-1.6288081671337082</v>
      </c>
      <c r="N44" s="465">
        <v>-1.4624128269058048</v>
      </c>
      <c r="O44" s="465">
        <v>-1.5128179380272051</v>
      </c>
      <c r="P44" s="465">
        <v>-1.4685755577041393</v>
      </c>
      <c r="Q44" s="465">
        <v>-1.5302201364014885</v>
      </c>
      <c r="R44" s="465">
        <v>-1.5930263794177952</v>
      </c>
    </row>
    <row r="45" spans="2:27">
      <c r="B45" s="464" t="s">
        <v>993</v>
      </c>
      <c r="C45" s="464" t="s">
        <v>993</v>
      </c>
      <c r="D45" s="465">
        <v>0.53616583983231525</v>
      </c>
      <c r="E45" s="465">
        <v>0.58276964797794095</v>
      </c>
      <c r="F45" s="465">
        <v>-0.97497847869227205</v>
      </c>
      <c r="G45" s="465">
        <v>-0.86478769587376836</v>
      </c>
      <c r="H45" s="465">
        <v>-2.2687434642234439</v>
      </c>
      <c r="I45" s="465">
        <v>-2.8651988227741167</v>
      </c>
      <c r="J45" s="465">
        <v>-3.2008990844208567</v>
      </c>
      <c r="K45" s="465">
        <v>-2.2815053174247204</v>
      </c>
      <c r="L45" s="465">
        <v>-0.38929031790239604</v>
      </c>
      <c r="M45" s="465">
        <v>-4.4066786633464936</v>
      </c>
      <c r="N45" s="465">
        <v>-2.7932537092620109</v>
      </c>
      <c r="O45" s="465">
        <v>-2.192556073945545</v>
      </c>
      <c r="P45" s="465">
        <v>-1.9868659950916996</v>
      </c>
      <c r="Q45" s="465">
        <v>-1.9843223425013206</v>
      </c>
      <c r="R45" s="465">
        <v>-2.0211765569398312</v>
      </c>
    </row>
    <row r="46" spans="2:27">
      <c r="B46" s="464" t="s">
        <v>994</v>
      </c>
      <c r="C46" s="464" t="s">
        <v>994</v>
      </c>
      <c r="D46" s="465">
        <v>-1.1527097391485983</v>
      </c>
      <c r="E46" s="465">
        <v>3.0034739563484631</v>
      </c>
      <c r="F46" s="465">
        <v>1.6359768236447882</v>
      </c>
      <c r="G46" s="465">
        <v>1.3894420737783779</v>
      </c>
      <c r="H46" s="465">
        <v>1.1607689389489999</v>
      </c>
      <c r="I46" s="465">
        <v>0.95458112464377964</v>
      </c>
      <c r="J46" s="465">
        <v>-3.0237291502657739</v>
      </c>
      <c r="K46" s="465">
        <v>-1.1110395789907781</v>
      </c>
      <c r="L46" s="465">
        <v>-13.372915126441226</v>
      </c>
      <c r="M46" s="465">
        <v>-15.805709011428307</v>
      </c>
      <c r="N46" s="465" t="s">
        <v>145</v>
      </c>
      <c r="O46" s="465" t="s">
        <v>145</v>
      </c>
      <c r="P46" s="465" t="s">
        <v>145</v>
      </c>
      <c r="Q46" s="465" t="s">
        <v>145</v>
      </c>
      <c r="R46" s="465" t="s">
        <v>145</v>
      </c>
      <c r="T46" s="471"/>
      <c r="U46" s="472"/>
      <c r="V46" s="472"/>
      <c r="W46" s="472"/>
      <c r="X46" s="472"/>
      <c r="Y46" s="472"/>
      <c r="Z46" s="472"/>
      <c r="AA46" s="472"/>
    </row>
    <row r="47" spans="2:27">
      <c r="B47" s="464" t="s">
        <v>995</v>
      </c>
      <c r="C47" s="464" t="s">
        <v>995</v>
      </c>
      <c r="D47" s="465">
        <v>2.1990346054680363</v>
      </c>
      <c r="E47" s="465">
        <v>-6.3498679476852029</v>
      </c>
      <c r="F47" s="465">
        <v>-2.9046192061330749</v>
      </c>
      <c r="G47" s="465">
        <v>-3.0062200315376379E-2</v>
      </c>
      <c r="H47" s="465">
        <v>4.0030841117679259</v>
      </c>
      <c r="I47" s="465">
        <v>2.885491568644301</v>
      </c>
      <c r="J47" s="465">
        <v>-2.1700729729646917</v>
      </c>
      <c r="K47" s="465">
        <v>4.3356758165755442</v>
      </c>
      <c r="L47" s="465">
        <v>9.4399149806863178</v>
      </c>
      <c r="M47" s="465">
        <v>4.9598593073844182</v>
      </c>
      <c r="N47" s="465">
        <v>4.22551825117612</v>
      </c>
      <c r="O47" s="465">
        <v>3.4087069492072448</v>
      </c>
      <c r="P47" s="465">
        <v>2.954654213857256</v>
      </c>
      <c r="Q47" s="465">
        <v>2.6771939343685363</v>
      </c>
      <c r="R47" s="465">
        <v>2.4929173507551501</v>
      </c>
    </row>
    <row r="48" spans="2:27">
      <c r="B48" s="464" t="s">
        <v>1006</v>
      </c>
      <c r="C48" s="464" t="s">
        <v>997</v>
      </c>
      <c r="D48" s="465">
        <v>-0.5021710468067615</v>
      </c>
      <c r="E48" s="465">
        <v>0.24739217288538062</v>
      </c>
      <c r="F48" s="465">
        <v>-0.26011384930275172</v>
      </c>
      <c r="G48" s="465">
        <v>-0.1572562938396638</v>
      </c>
      <c r="H48" s="465">
        <v>0.52341253287533962</v>
      </c>
      <c r="I48" s="465">
        <v>-0.49833931050730335</v>
      </c>
      <c r="J48" s="465">
        <v>-2.1089473113980022</v>
      </c>
      <c r="K48" s="465">
        <v>-0.65457087569209316</v>
      </c>
      <c r="L48" s="465">
        <v>-0.69683021530020595</v>
      </c>
      <c r="M48" s="465">
        <v>-0.93019990066614766</v>
      </c>
      <c r="N48" s="465">
        <v>-1.0917805525727642</v>
      </c>
      <c r="O48" s="465">
        <v>-0.80702751692302988</v>
      </c>
      <c r="P48" s="465">
        <v>-0.47731017458517583</v>
      </c>
      <c r="Q48" s="465">
        <v>-0.28942119925159615</v>
      </c>
      <c r="R48" s="465">
        <v>-0.11602703541985686</v>
      </c>
    </row>
    <row r="49" spans="2:18">
      <c r="B49" s="466" t="s">
        <v>998</v>
      </c>
      <c r="C49" s="466" t="s">
        <v>998</v>
      </c>
      <c r="D49" s="467">
        <v>-7.4878108266256085</v>
      </c>
      <c r="E49" s="467">
        <v>-6.8214383794410773</v>
      </c>
      <c r="F49" s="467">
        <v>-7.6717224017760088</v>
      </c>
      <c r="G49" s="467">
        <v>-13.097635741746929</v>
      </c>
      <c r="H49" s="467">
        <v>-30.274458343165623</v>
      </c>
      <c r="I49" s="467">
        <v>-9.9821668073772987</v>
      </c>
      <c r="J49" s="467">
        <v>-4.9278380856019259</v>
      </c>
      <c r="K49" s="467">
        <v>-4.5530681617304909</v>
      </c>
      <c r="L49" s="467">
        <v>-5.8453235047835994</v>
      </c>
      <c r="M49" s="467" t="s">
        <v>145</v>
      </c>
      <c r="N49" s="467" t="s">
        <v>145</v>
      </c>
      <c r="O49" s="467" t="s">
        <v>145</v>
      </c>
      <c r="P49" s="467" t="s">
        <v>145</v>
      </c>
      <c r="Q49" s="467" t="s">
        <v>145</v>
      </c>
      <c r="R49" s="467" t="s">
        <v>145</v>
      </c>
    </row>
    <row r="50" spans="2:18" ht="6" customHeight="1">
      <c r="B50" s="473"/>
      <c r="C50" s="464"/>
      <c r="D50" s="465"/>
      <c r="E50" s="465"/>
      <c r="F50" s="465"/>
      <c r="G50" s="465"/>
      <c r="H50" s="465"/>
      <c r="I50" s="465"/>
      <c r="J50" s="465"/>
      <c r="K50" s="465"/>
      <c r="L50" s="465"/>
      <c r="M50" s="465"/>
      <c r="N50" s="465"/>
      <c r="O50" s="465"/>
      <c r="P50" s="465"/>
      <c r="Q50" s="465"/>
      <c r="R50" s="465"/>
    </row>
    <row r="51" spans="2:18" ht="12.75" customHeight="1">
      <c r="B51" s="613" t="s">
        <v>927</v>
      </c>
      <c r="C51" s="613"/>
      <c r="D51" s="613"/>
      <c r="E51" s="613"/>
      <c r="F51" s="613"/>
      <c r="G51" s="613"/>
      <c r="H51" s="613"/>
      <c r="I51" s="613"/>
      <c r="J51" s="613"/>
      <c r="K51" s="613"/>
      <c r="L51" s="613"/>
      <c r="M51" s="613"/>
      <c r="N51" s="613"/>
      <c r="O51" s="613"/>
      <c r="P51" s="613"/>
      <c r="Q51" s="468"/>
      <c r="R51" s="468"/>
    </row>
    <row r="52" spans="2:18" ht="27.75" customHeight="1">
      <c r="B52" s="613" t="s">
        <v>1007</v>
      </c>
      <c r="C52" s="613"/>
      <c r="D52" s="613"/>
      <c r="E52" s="613"/>
      <c r="F52" s="613"/>
      <c r="G52" s="613"/>
      <c r="H52" s="613"/>
      <c r="I52" s="613"/>
      <c r="J52" s="613"/>
      <c r="K52" s="613"/>
      <c r="L52" s="613"/>
      <c r="M52" s="613"/>
      <c r="N52" s="613"/>
      <c r="O52" s="613"/>
      <c r="P52" s="613"/>
      <c r="Q52" s="613"/>
      <c r="R52" s="613"/>
    </row>
    <row r="53" spans="2:18" ht="14.25" customHeight="1">
      <c r="B53" s="618" t="s">
        <v>1008</v>
      </c>
      <c r="C53" s="618"/>
      <c r="D53" s="618"/>
      <c r="E53" s="618"/>
      <c r="F53" s="618"/>
      <c r="G53" s="618"/>
      <c r="H53" s="618"/>
      <c r="I53" s="618"/>
      <c r="J53" s="618"/>
      <c r="K53" s="618"/>
      <c r="L53" s="618"/>
      <c r="M53" s="618"/>
      <c r="N53" s="618"/>
      <c r="O53" s="618"/>
      <c r="P53" s="618"/>
      <c r="Q53" s="618"/>
      <c r="R53" s="618"/>
    </row>
    <row r="54" spans="2:18" ht="13.5" customHeight="1">
      <c r="B54" s="618" t="s">
        <v>1009</v>
      </c>
      <c r="C54" s="618"/>
      <c r="D54" s="618"/>
      <c r="E54" s="618"/>
      <c r="F54" s="618"/>
      <c r="G54" s="618"/>
      <c r="H54" s="618"/>
      <c r="I54" s="618"/>
      <c r="J54" s="618"/>
      <c r="K54" s="618"/>
      <c r="L54" s="618"/>
      <c r="M54" s="618"/>
      <c r="N54" s="618"/>
      <c r="O54" s="618"/>
      <c r="P54" s="618"/>
      <c r="Q54" s="618"/>
      <c r="R54" s="618"/>
    </row>
    <row r="55" spans="2:18" ht="90.75" customHeight="1">
      <c r="B55" s="618" t="s">
        <v>1010</v>
      </c>
      <c r="C55" s="618"/>
      <c r="D55" s="618"/>
      <c r="E55" s="618"/>
      <c r="F55" s="618"/>
      <c r="G55" s="618"/>
      <c r="H55" s="618"/>
      <c r="I55" s="618"/>
      <c r="J55" s="618"/>
      <c r="K55" s="618"/>
      <c r="L55" s="618"/>
      <c r="M55" s="618"/>
      <c r="N55" s="618"/>
      <c r="O55" s="618"/>
      <c r="P55" s="618"/>
      <c r="Q55" s="618"/>
      <c r="R55" s="618"/>
    </row>
    <row r="56" spans="2:18" ht="97.5" customHeight="1">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sheetData>
  <mergeCells count="7">
    <mergeCell ref="B55:R55"/>
    <mergeCell ref="B2:N2"/>
    <mergeCell ref="B3:R3"/>
    <mergeCell ref="B51:P51"/>
    <mergeCell ref="B52:R52"/>
    <mergeCell ref="B53:R53"/>
    <mergeCell ref="B54:R54"/>
  </mergeCells>
  <conditionalFormatting sqref="B11:R49">
    <cfRule type="expression" dxfId="33" priority="1">
      <formula>MOD(ROW(),2)=0</formula>
    </cfRule>
  </conditionalFormatting>
  <pageMargins left="0.7" right="0.7" top="0.75" bottom="0.75" header="0.3" footer="0.3"/>
  <pageSetup scale="1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B0A23-B25C-4349-B4E8-C80DF38F13C7}">
  <sheetPr codeName="Sheet14">
    <pageSetUpPr fitToPage="1"/>
  </sheetPr>
  <dimension ref="A1:AH74"/>
  <sheetViews>
    <sheetView showGridLines="0" zoomScale="120" zoomScaleNormal="120" workbookViewId="0">
      <pane xSplit="3" ySplit="4" topLeftCell="H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19.42578125" style="451" customWidth="1"/>
    <col min="3" max="3" width="1.7109375" style="451" hidden="1" customWidth="1" outlineLevel="1"/>
    <col min="4" max="4" width="8.85546875" style="452" customWidth="1" collapsed="1"/>
    <col min="5" max="18" width="8.85546875" style="452" customWidth="1"/>
    <col min="19" max="19" width="4.42578125" style="452" customWidth="1"/>
    <col min="20" max="20" width="0" style="496" hidden="1" customWidth="1"/>
    <col min="21" max="33" width="9.140625" style="496"/>
    <col min="34" max="16384" width="9.140625" style="451"/>
  </cols>
  <sheetData>
    <row r="1" spans="2:27">
      <c r="U1" s="497"/>
    </row>
    <row r="2" spans="2:27">
      <c r="B2" s="616" t="str">
        <f>"Table A11. Emerging Market and Middle-Income Economies: General Government Cyclically Adjusted Balance, "&amp;D4&amp;"–"&amp;RIGHT(R4,2)</f>
        <v>Table A11. Emerging Market and Middle-Income Economies: General Government Cyclically Adjusted Balance, 2014–28</v>
      </c>
      <c r="C2" s="616"/>
      <c r="D2" s="616"/>
      <c r="E2" s="616"/>
      <c r="F2" s="616"/>
      <c r="G2" s="616"/>
      <c r="H2" s="616"/>
      <c r="I2" s="616"/>
      <c r="J2" s="616"/>
      <c r="K2" s="616"/>
      <c r="L2" s="616"/>
      <c r="M2" s="616"/>
      <c r="N2" s="616"/>
      <c r="O2" s="616"/>
      <c r="P2" s="616"/>
      <c r="Q2" s="616"/>
      <c r="R2" s="616"/>
      <c r="S2" s="498"/>
      <c r="T2" s="490" t="s">
        <v>966</v>
      </c>
      <c r="U2" s="489"/>
    </row>
    <row r="3" spans="2:27">
      <c r="B3" s="619" t="s">
        <v>933</v>
      </c>
      <c r="C3" s="620"/>
      <c r="D3" s="620"/>
      <c r="E3" s="620"/>
      <c r="F3" s="620"/>
      <c r="G3" s="620"/>
      <c r="H3" s="620"/>
      <c r="I3" s="620"/>
      <c r="J3" s="620"/>
      <c r="K3" s="620"/>
      <c r="L3" s="620"/>
      <c r="M3" s="620"/>
      <c r="N3" s="620"/>
      <c r="O3" s="620"/>
      <c r="P3" s="620"/>
      <c r="Q3" s="620"/>
      <c r="R3" s="620"/>
      <c r="S3" s="498"/>
    </row>
    <row r="4" spans="2:27"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c r="S4" s="469"/>
    </row>
    <row r="5" spans="2:27" ht="14.1" customHeight="1">
      <c r="B5" s="459" t="s">
        <v>196</v>
      </c>
      <c r="C5" s="491" t="s">
        <v>967</v>
      </c>
      <c r="D5" s="461">
        <v>-2.6607943177542279</v>
      </c>
      <c r="E5" s="461">
        <v>-3.6715407342847137</v>
      </c>
      <c r="F5" s="461">
        <v>-3.9186027928772216</v>
      </c>
      <c r="G5" s="461">
        <v>-3.6182096108447928</v>
      </c>
      <c r="H5" s="461">
        <v>-3.7250765594627531</v>
      </c>
      <c r="I5" s="461">
        <v>-4.6108953045905912</v>
      </c>
      <c r="J5" s="461">
        <v>-7.4302822881010488</v>
      </c>
      <c r="K5" s="461">
        <v>-5.2240670146870176</v>
      </c>
      <c r="L5" s="461">
        <v>-5.7911497559029996</v>
      </c>
      <c r="M5" s="461">
        <v>-6.1619487121874004</v>
      </c>
      <c r="N5" s="461">
        <v>-5.6201758659702818</v>
      </c>
      <c r="O5" s="461">
        <v>-5.4167281223423389</v>
      </c>
      <c r="P5" s="461">
        <v>-5.2433974141082169</v>
      </c>
      <c r="Q5" s="461">
        <v>-5.1068996030277409</v>
      </c>
      <c r="R5" s="461">
        <v>-4.9966887065471042</v>
      </c>
      <c r="S5" s="469"/>
    </row>
    <row r="6" spans="2:27" ht="14.1" customHeight="1">
      <c r="B6" s="492" t="s">
        <v>108</v>
      </c>
      <c r="C6" s="491" t="s">
        <v>109</v>
      </c>
      <c r="D6" s="461">
        <v>-1.672507902858422</v>
      </c>
      <c r="E6" s="461">
        <v>-2.8149072473227936</v>
      </c>
      <c r="F6" s="461">
        <v>-3.5596322285232391</v>
      </c>
      <c r="G6" s="461">
        <v>-3.4910655211759094</v>
      </c>
      <c r="H6" s="461">
        <v>-4.2047250330248618</v>
      </c>
      <c r="I6" s="461">
        <v>-5.5320721714612526</v>
      </c>
      <c r="J6" s="461">
        <v>-8.0763678607890323</v>
      </c>
      <c r="K6" s="461">
        <v>-5.9079591431943523</v>
      </c>
      <c r="L6" s="461">
        <v>-6.7095914941283592</v>
      </c>
      <c r="M6" s="461">
        <v>-6.405825442741981</v>
      </c>
      <c r="N6" s="461">
        <v>-6.114606972204788</v>
      </c>
      <c r="O6" s="461">
        <v>-6.0937442142786082</v>
      </c>
      <c r="P6" s="461">
        <v>-6.0395246846608872</v>
      </c>
      <c r="Q6" s="461">
        <v>-5.942328735471321</v>
      </c>
      <c r="R6" s="461">
        <v>-5.8722401822702155</v>
      </c>
      <c r="S6" s="469"/>
    </row>
    <row r="7" spans="2:27" ht="14.1" customHeight="1">
      <c r="B7" s="492" t="s">
        <v>113</v>
      </c>
      <c r="C7" s="491" t="s">
        <v>114</v>
      </c>
      <c r="D7" s="461">
        <v>-1.1514549062993931</v>
      </c>
      <c r="E7" s="461">
        <v>-2.1912031265468679</v>
      </c>
      <c r="F7" s="461">
        <v>-2.2711147043854085</v>
      </c>
      <c r="G7" s="461">
        <v>-1.6514303667719812</v>
      </c>
      <c r="H7" s="461">
        <v>-0.19896807852932308</v>
      </c>
      <c r="I7" s="461">
        <v>-0.88301648028249569</v>
      </c>
      <c r="J7" s="461">
        <v>-4.7415914897973979</v>
      </c>
      <c r="K7" s="461">
        <v>-2.0737734462596649</v>
      </c>
      <c r="L7" s="461">
        <v>-3.2462702638347989</v>
      </c>
      <c r="M7" s="461">
        <v>-5.9230975291376993</v>
      </c>
      <c r="N7" s="461">
        <v>-4.0418386523594076</v>
      </c>
      <c r="O7" s="461">
        <v>-3.4748493390595923</v>
      </c>
      <c r="P7" s="461">
        <v>-2.9086771851070701</v>
      </c>
      <c r="Q7" s="461">
        <v>-2.6411685341757187</v>
      </c>
      <c r="R7" s="461">
        <v>-2.301761356927615</v>
      </c>
      <c r="S7" s="469"/>
    </row>
    <row r="8" spans="2:27" ht="14.1" customHeight="1">
      <c r="B8" s="492" t="s">
        <v>117</v>
      </c>
      <c r="C8" s="491" t="s">
        <v>118</v>
      </c>
      <c r="D8" s="461">
        <v>-5.2891960069282398</v>
      </c>
      <c r="E8" s="461">
        <v>-6.425033959793379</v>
      </c>
      <c r="F8" s="461">
        <v>-5.3471294282281159</v>
      </c>
      <c r="G8" s="461">
        <v>-4.8027648598117851</v>
      </c>
      <c r="H8" s="461">
        <v>-4.2284893111460615</v>
      </c>
      <c r="I8" s="461">
        <v>-3.4978421718324815</v>
      </c>
      <c r="J8" s="461">
        <v>-6.7978810813725614</v>
      </c>
      <c r="K8" s="461">
        <v>-4.4456298736403319</v>
      </c>
      <c r="L8" s="461">
        <v>-4.2581720995756447</v>
      </c>
      <c r="M8" s="461">
        <v>-5.3283783418835871</v>
      </c>
      <c r="N8" s="461">
        <v>-4.4953247775959371</v>
      </c>
      <c r="O8" s="461">
        <v>-3.7335276750654653</v>
      </c>
      <c r="P8" s="461">
        <v>-3.2978444513169851</v>
      </c>
      <c r="Q8" s="461">
        <v>-3.0355185522585715</v>
      </c>
      <c r="R8" s="461">
        <v>-2.8246405004091777</v>
      </c>
      <c r="S8" s="469"/>
    </row>
    <row r="9" spans="2:27" ht="14.1" customHeight="1">
      <c r="B9" s="492" t="s">
        <v>121</v>
      </c>
      <c r="C9" s="491" t="s">
        <v>122</v>
      </c>
      <c r="D9" s="461">
        <v>-9.5973540375057702</v>
      </c>
      <c r="E9" s="461">
        <v>-10.651940559201666</v>
      </c>
      <c r="F9" s="461">
        <v>-10.281371838080062</v>
      </c>
      <c r="G9" s="461">
        <v>-8.235875752585855</v>
      </c>
      <c r="H9" s="461">
        <v>-7.3856355263783966</v>
      </c>
      <c r="I9" s="461">
        <v>-7.8386425223954168</v>
      </c>
      <c r="J9" s="461">
        <v>-8.0370378990765303</v>
      </c>
      <c r="K9" s="461">
        <v>-7.1554084411074861</v>
      </c>
      <c r="L9" s="461">
        <v>-4.223539159202069</v>
      </c>
      <c r="M9" s="461">
        <v>-6.7693063746736861</v>
      </c>
      <c r="N9" s="461">
        <v>-7.3399264380055103</v>
      </c>
      <c r="O9" s="461">
        <v>-6.605990270299869</v>
      </c>
      <c r="P9" s="461">
        <v>-5.6984596986602805</v>
      </c>
      <c r="Q9" s="461">
        <v>-4.9257738920869931</v>
      </c>
      <c r="R9" s="461">
        <v>-4.368634880713155</v>
      </c>
      <c r="S9" s="469"/>
    </row>
    <row r="10" spans="2:27" ht="14.1" customHeight="1">
      <c r="B10" s="493" t="s">
        <v>968</v>
      </c>
      <c r="C10" s="491" t="s">
        <v>103</v>
      </c>
      <c r="D10" s="461">
        <v>-2.5028061450906014</v>
      </c>
      <c r="E10" s="461">
        <v>-3.7707072453564265</v>
      </c>
      <c r="F10" s="461">
        <v>-4.0698207661985313</v>
      </c>
      <c r="G10" s="461">
        <v>-3.7635209687340789</v>
      </c>
      <c r="H10" s="461">
        <v>-3.9213455254321303</v>
      </c>
      <c r="I10" s="461">
        <v>-4.9339307137786763</v>
      </c>
      <c r="J10" s="461">
        <v>-7.8645189144077117</v>
      </c>
      <c r="K10" s="461">
        <v>-5.215104332708516</v>
      </c>
      <c r="L10" s="461">
        <v>-6.0134858968728118</v>
      </c>
      <c r="M10" s="461">
        <v>-6.4908086133725851</v>
      </c>
      <c r="N10" s="461">
        <v>-5.9376821096704626</v>
      </c>
      <c r="O10" s="461">
        <v>-5.7418665267018083</v>
      </c>
      <c r="P10" s="461">
        <v>-5.5855869142035726</v>
      </c>
      <c r="Q10" s="461">
        <v>-5.4602410769340368</v>
      </c>
      <c r="R10" s="461">
        <v>-5.3758120593605847</v>
      </c>
      <c r="S10" s="469"/>
    </row>
    <row r="11" spans="2:27" ht="15" customHeight="1">
      <c r="B11" s="464" t="s">
        <v>969</v>
      </c>
      <c r="C11" s="464" t="s">
        <v>969</v>
      </c>
      <c r="D11" s="465" t="s">
        <v>145</v>
      </c>
      <c r="E11" s="465" t="s">
        <v>145</v>
      </c>
      <c r="F11" s="465" t="s">
        <v>145</v>
      </c>
      <c r="G11" s="465" t="s">
        <v>145</v>
      </c>
      <c r="H11" s="465" t="s">
        <v>145</v>
      </c>
      <c r="I11" s="465" t="s">
        <v>145</v>
      </c>
      <c r="J11" s="465" t="s">
        <v>145</v>
      </c>
      <c r="K11" s="465" t="s">
        <v>145</v>
      </c>
      <c r="L11" s="465" t="s">
        <v>145</v>
      </c>
      <c r="M11" s="465" t="s">
        <v>145</v>
      </c>
      <c r="N11" s="465" t="s">
        <v>145</v>
      </c>
      <c r="O11" s="465" t="s">
        <v>145</v>
      </c>
      <c r="P11" s="465" t="s">
        <v>145</v>
      </c>
      <c r="Q11" s="465" t="s">
        <v>145</v>
      </c>
      <c r="R11" s="465" t="s">
        <v>145</v>
      </c>
      <c r="S11" s="465"/>
    </row>
    <row r="12" spans="2:27" ht="13.5" customHeight="1">
      <c r="B12" s="464" t="s">
        <v>970</v>
      </c>
      <c r="C12" s="464" t="s">
        <v>970</v>
      </c>
      <c r="D12" s="465">
        <v>-7.4921234216009891</v>
      </c>
      <c r="E12" s="465">
        <v>-0.48452507738020195</v>
      </c>
      <c r="F12" s="465">
        <v>-2.3842635357194792</v>
      </c>
      <c r="G12" s="465">
        <v>-4.5417497030734646</v>
      </c>
      <c r="H12" s="465">
        <v>3.0807522145556314</v>
      </c>
      <c r="I12" s="465">
        <v>1.4856040661728602</v>
      </c>
      <c r="J12" s="465">
        <v>0.44027100769524635</v>
      </c>
      <c r="K12" s="465">
        <v>3.357408010075301</v>
      </c>
      <c r="L12" s="465">
        <v>0.7756783861436175</v>
      </c>
      <c r="M12" s="465">
        <v>-0.29837937888182287</v>
      </c>
      <c r="N12" s="465">
        <v>-1.703748016260231</v>
      </c>
      <c r="O12" s="465">
        <v>-1.9963820124221912</v>
      </c>
      <c r="P12" s="465">
        <v>-2.2481940145729817</v>
      </c>
      <c r="Q12" s="465">
        <v>-2.6112049937719632</v>
      </c>
      <c r="R12" s="465">
        <v>-2.9801014063394295</v>
      </c>
      <c r="S12" s="465"/>
    </row>
    <row r="13" spans="2:27" ht="13.5" customHeight="1">
      <c r="B13" s="464" t="s">
        <v>971</v>
      </c>
      <c r="C13" s="464" t="s">
        <v>971</v>
      </c>
      <c r="D13" s="465">
        <v>-3.4320631375412822</v>
      </c>
      <c r="E13" s="465">
        <v>-6.203628400330377</v>
      </c>
      <c r="F13" s="465">
        <v>-5.985386659025151</v>
      </c>
      <c r="G13" s="465">
        <v>-7.1796763743219696</v>
      </c>
      <c r="H13" s="465">
        <v>-4.9700652816199415</v>
      </c>
      <c r="I13" s="465">
        <v>-3.4294530353037116</v>
      </c>
      <c r="J13" s="465">
        <v>-4.9687464403391859</v>
      </c>
      <c r="K13" s="465">
        <v>-3.1622021060205103</v>
      </c>
      <c r="L13" s="465">
        <v>-3.8768646289933963</v>
      </c>
      <c r="M13" s="465">
        <v>-3.494060038115252</v>
      </c>
      <c r="N13" s="465">
        <v>-3.4614030556139173</v>
      </c>
      <c r="O13" s="465">
        <v>-2.0457559081114631</v>
      </c>
      <c r="P13" s="465">
        <v>-1.6975319111531102</v>
      </c>
      <c r="Q13" s="465">
        <v>-1.327333997415443</v>
      </c>
      <c r="R13" s="465">
        <v>-1.3403188646203898</v>
      </c>
      <c r="S13" s="465"/>
      <c r="T13" s="471"/>
      <c r="U13" s="472"/>
      <c r="V13" s="472"/>
      <c r="W13" s="472"/>
      <c r="X13" s="472"/>
      <c r="Y13" s="472"/>
      <c r="Z13" s="472"/>
      <c r="AA13" s="472"/>
    </row>
    <row r="14" spans="2:27" ht="13.5" customHeight="1">
      <c r="B14" s="464" t="s">
        <v>972</v>
      </c>
      <c r="C14" s="464" t="s">
        <v>972</v>
      </c>
      <c r="D14" s="465">
        <v>-0.82961883890166688</v>
      </c>
      <c r="E14" s="465">
        <v>-2.3126884681087012</v>
      </c>
      <c r="F14" s="465">
        <v>-2.736480683002239E-2</v>
      </c>
      <c r="G14" s="465">
        <v>0.39663098625316429</v>
      </c>
      <c r="H14" s="465">
        <v>1.6051630340702017</v>
      </c>
      <c r="I14" s="465">
        <v>0.36758552773395964</v>
      </c>
      <c r="J14" s="465">
        <v>-3.2885405555637863</v>
      </c>
      <c r="K14" s="465">
        <v>-3.2102287376062888</v>
      </c>
      <c r="L14" s="465">
        <v>-4.7665752719532728</v>
      </c>
      <c r="M14" s="465">
        <v>-1.9367389386891625</v>
      </c>
      <c r="N14" s="465">
        <v>-0.70228389545347258</v>
      </c>
      <c r="O14" s="465">
        <v>0.31044056805285486</v>
      </c>
      <c r="P14" s="465">
        <v>0.51616816566335322</v>
      </c>
      <c r="Q14" s="465">
        <v>0.76362766900219969</v>
      </c>
      <c r="R14" s="465">
        <v>0.69306058158180683</v>
      </c>
      <c r="S14" s="465"/>
    </row>
    <row r="15" spans="2:27" ht="13.5" customHeight="1">
      <c r="B15" s="464" t="s">
        <v>119</v>
      </c>
      <c r="C15" s="464" t="s">
        <v>119</v>
      </c>
      <c r="D15" s="465">
        <v>-7.7602396595068832</v>
      </c>
      <c r="E15" s="465">
        <v>-10.341229009493178</v>
      </c>
      <c r="F15" s="465">
        <v>-7.5256130992069528</v>
      </c>
      <c r="G15" s="465">
        <v>-6.6019528717381535</v>
      </c>
      <c r="H15" s="465">
        <v>-6.1998334777445576</v>
      </c>
      <c r="I15" s="465">
        <v>-5.2139965747223398</v>
      </c>
      <c r="J15" s="465">
        <v>-11.831244576101062</v>
      </c>
      <c r="K15" s="465">
        <v>-4.2416283709399583</v>
      </c>
      <c r="L15" s="465">
        <v>-5.0430388199266094</v>
      </c>
      <c r="M15" s="465">
        <v>-9.0261126010064601</v>
      </c>
      <c r="N15" s="465">
        <v>-8.2811734579410565</v>
      </c>
      <c r="O15" s="465">
        <v>-6.6163781273197619</v>
      </c>
      <c r="P15" s="465">
        <v>-5.5480875013833728</v>
      </c>
      <c r="Q15" s="465">
        <v>-4.9154685744437687</v>
      </c>
      <c r="R15" s="465">
        <v>-4.3581718899866049</v>
      </c>
      <c r="S15" s="465"/>
    </row>
    <row r="16" spans="2:27" ht="13.5" customHeight="1">
      <c r="B16" s="464" t="s">
        <v>427</v>
      </c>
      <c r="C16" s="464" t="s">
        <v>427</v>
      </c>
      <c r="D16" s="465">
        <v>-3.0513379609939704</v>
      </c>
      <c r="E16" s="465">
        <v>-2.6562138884333439</v>
      </c>
      <c r="F16" s="465">
        <v>1.4249852603879714</v>
      </c>
      <c r="G16" s="465">
        <v>0.67365049409746269</v>
      </c>
      <c r="H16" s="465">
        <v>9.0537102680081138E-2</v>
      </c>
      <c r="I16" s="465">
        <v>-1.3329653728253756</v>
      </c>
      <c r="J16" s="465">
        <v>-2.3268807247628414</v>
      </c>
      <c r="K16" s="465">
        <v>-3.1928724196144245</v>
      </c>
      <c r="L16" s="465">
        <v>-1.2199916316126223</v>
      </c>
      <c r="M16" s="465">
        <v>-3.1760818638676596</v>
      </c>
      <c r="N16" s="465">
        <v>-3.0500320214580796</v>
      </c>
      <c r="O16" s="465">
        <v>-2.9288042797915153</v>
      </c>
      <c r="P16" s="465">
        <v>-2.2481880737587776</v>
      </c>
      <c r="Q16" s="465">
        <v>-2.2143739687190411</v>
      </c>
      <c r="R16" s="465">
        <v>-2.1862560543158911</v>
      </c>
      <c r="S16" s="465"/>
    </row>
    <row r="17" spans="2:34" ht="13.5" customHeight="1">
      <c r="B17" s="464" t="s">
        <v>1011</v>
      </c>
      <c r="C17" s="464" t="s">
        <v>973</v>
      </c>
      <c r="D17" s="465">
        <v>-0.50865044786714575</v>
      </c>
      <c r="E17" s="465">
        <v>0.47849797760602958</v>
      </c>
      <c r="F17" s="465">
        <v>-0.976161186791771</v>
      </c>
      <c r="G17" s="465">
        <v>-2.0228332028134526</v>
      </c>
      <c r="H17" s="465">
        <v>-1.5328031753612932</v>
      </c>
      <c r="I17" s="465">
        <v>-1.7072008184371108</v>
      </c>
      <c r="J17" s="465">
        <v>-1.5774584411099832</v>
      </c>
      <c r="K17" s="465">
        <v>-12.141392412995742</v>
      </c>
      <c r="L17" s="465">
        <v>-1.1417737776558583</v>
      </c>
      <c r="M17" s="465">
        <v>-1.6422630870165833</v>
      </c>
      <c r="N17" s="465">
        <v>-0.88079290825918855</v>
      </c>
      <c r="O17" s="465">
        <v>-0.37444068850874096</v>
      </c>
      <c r="P17" s="465">
        <v>-0.10293109651569229</v>
      </c>
      <c r="Q17" s="465">
        <v>0.14028439939332887</v>
      </c>
      <c r="R17" s="465">
        <v>4.518127073471695E-2</v>
      </c>
      <c r="S17" s="465"/>
    </row>
    <row r="18" spans="2:34" ht="13.5" customHeight="1">
      <c r="B18" s="464" t="s">
        <v>111</v>
      </c>
      <c r="C18" s="464" t="s">
        <v>111</v>
      </c>
      <c r="D18" s="465">
        <v>-0.70969242645042041</v>
      </c>
      <c r="E18" s="465">
        <v>-2.2444134740485673</v>
      </c>
      <c r="F18" s="465">
        <v>-3.1333823618226391</v>
      </c>
      <c r="G18" s="465">
        <v>-3.2076607986424968</v>
      </c>
      <c r="H18" s="465">
        <v>-4.1171078173933013</v>
      </c>
      <c r="I18" s="465">
        <v>-5.7603542312209388</v>
      </c>
      <c r="J18" s="465">
        <v>-8.4436198173043415</v>
      </c>
      <c r="K18" s="465">
        <v>-5.5678236613424925</v>
      </c>
      <c r="L18" s="465">
        <v>-6.6172792364013633</v>
      </c>
      <c r="M18" s="465">
        <v>-6.389880110951256</v>
      </c>
      <c r="N18" s="465">
        <v>-6.1389073875606863</v>
      </c>
      <c r="O18" s="465">
        <v>-6.176706268549859</v>
      </c>
      <c r="P18" s="465">
        <v>-6.1562864404628774</v>
      </c>
      <c r="Q18" s="465">
        <v>-6.0484857933812828</v>
      </c>
      <c r="R18" s="465">
        <v>-6.0056795746682887</v>
      </c>
      <c r="S18" s="465"/>
    </row>
    <row r="19" spans="2:34" ht="13.5" customHeight="1">
      <c r="B19" s="464" t="s">
        <v>480</v>
      </c>
      <c r="C19" s="464" t="s">
        <v>480</v>
      </c>
      <c r="D19" s="465">
        <v>-2.366412371300378</v>
      </c>
      <c r="E19" s="465">
        <v>-3.9090959036943795</v>
      </c>
      <c r="F19" s="465">
        <v>-2.5503411036825705</v>
      </c>
      <c r="G19" s="465">
        <v>-2.3028844406264439</v>
      </c>
      <c r="H19" s="465">
        <v>-4.1748121561856433</v>
      </c>
      <c r="I19" s="465">
        <v>-2.4510731265300283</v>
      </c>
      <c r="J19" s="465">
        <v>-4.9122873043516782</v>
      </c>
      <c r="K19" s="465">
        <v>-7.4567772268452526</v>
      </c>
      <c r="L19" s="465">
        <v>-8.2654049826136173</v>
      </c>
      <c r="M19" s="465">
        <v>-4.6179073077667852</v>
      </c>
      <c r="N19" s="465">
        <v>-2.1402673940260755</v>
      </c>
      <c r="O19" s="465">
        <v>-2.9070015764894745</v>
      </c>
      <c r="P19" s="465">
        <v>-3.2131332779198032</v>
      </c>
      <c r="Q19" s="465">
        <v>-3.2162956955290758</v>
      </c>
      <c r="R19" s="465">
        <v>-2.894664409363902</v>
      </c>
      <c r="S19" s="465"/>
    </row>
    <row r="20" spans="2:34" ht="13.5" customHeight="1">
      <c r="B20" s="464" t="s">
        <v>975</v>
      </c>
      <c r="C20" s="464" t="s">
        <v>975</v>
      </c>
      <c r="D20" s="465">
        <v>-4.3291345443692526</v>
      </c>
      <c r="E20" s="465">
        <v>-4.2087437009008948</v>
      </c>
      <c r="F20" s="465">
        <v>-3.8025765534154701</v>
      </c>
      <c r="G20" s="465">
        <v>-3.6544797270285256</v>
      </c>
      <c r="H20" s="465">
        <v>-3.3181643719009939</v>
      </c>
      <c r="I20" s="465">
        <v>-3.2131612775360501</v>
      </c>
      <c r="J20" s="465">
        <v>-7.6046323160949596</v>
      </c>
      <c r="K20" s="465">
        <v>-3.3919613206007679</v>
      </c>
      <c r="L20" s="465">
        <v>-3.6609387771295685</v>
      </c>
      <c r="M20" s="465">
        <v>-4.0097086953388565</v>
      </c>
      <c r="N20" s="465">
        <v>-3.9203727658753267</v>
      </c>
      <c r="O20" s="465">
        <v>-3.5761892178574355</v>
      </c>
      <c r="P20" s="465">
        <v>-3.4643262408101041</v>
      </c>
      <c r="Q20" s="465">
        <v>-3.3149166305634936</v>
      </c>
      <c r="R20" s="465">
        <v>-3.192041284954191</v>
      </c>
      <c r="S20" s="465"/>
    </row>
    <row r="21" spans="2:34" ht="13.5" customHeight="1">
      <c r="B21" s="464" t="s">
        <v>976</v>
      </c>
      <c r="C21" s="464" t="s">
        <v>977</v>
      </c>
      <c r="D21" s="465">
        <v>-9.2052033653194059</v>
      </c>
      <c r="E21" s="465">
        <v>-8.7730564366251045</v>
      </c>
      <c r="F21" s="465">
        <v>-10.494583517690817</v>
      </c>
      <c r="G21" s="465">
        <v>-5.2751218088602769</v>
      </c>
      <c r="H21" s="465">
        <v>-3.3315757974818125</v>
      </c>
      <c r="I21" s="465">
        <v>-3.4325804705326965</v>
      </c>
      <c r="J21" s="465">
        <v>-5.0045836885206212</v>
      </c>
      <c r="K21" s="465">
        <v>-1.2089450464932112</v>
      </c>
      <c r="L21" s="465">
        <v>-0.56445917585144367</v>
      </c>
      <c r="M21" s="465" t="s">
        <v>145</v>
      </c>
      <c r="N21" s="465" t="s">
        <v>145</v>
      </c>
      <c r="O21" s="465" t="s">
        <v>145</v>
      </c>
      <c r="P21" s="465" t="s">
        <v>145</v>
      </c>
      <c r="Q21" s="465" t="s">
        <v>145</v>
      </c>
      <c r="R21" s="465" t="s">
        <v>145</v>
      </c>
      <c r="S21" s="465"/>
    </row>
    <row r="22" spans="2:34" ht="13.5" customHeight="1">
      <c r="B22" s="464" t="s">
        <v>978</v>
      </c>
      <c r="C22" s="464" t="s">
        <v>978</v>
      </c>
      <c r="D22" s="465">
        <v>-11.000261492981263</v>
      </c>
      <c r="E22" s="465">
        <v>-10.838551998454687</v>
      </c>
      <c r="F22" s="465">
        <v>-11.396599622671916</v>
      </c>
      <c r="G22" s="465">
        <v>-10.119710477453427</v>
      </c>
      <c r="H22" s="465">
        <v>-9.0491423092907386</v>
      </c>
      <c r="I22" s="465">
        <v>-7.3476106022520469</v>
      </c>
      <c r="J22" s="465">
        <v>-6.6298037694784249</v>
      </c>
      <c r="K22" s="465">
        <v>-7.113916453414908</v>
      </c>
      <c r="L22" s="465">
        <v>-6.0080773594642505</v>
      </c>
      <c r="M22" s="465">
        <v>-7.6629498105996134</v>
      </c>
      <c r="N22" s="465">
        <v>-9.2342886267770705</v>
      </c>
      <c r="O22" s="465">
        <v>-8.4802074829264367</v>
      </c>
      <c r="P22" s="465">
        <v>-6.8411141369129043</v>
      </c>
      <c r="Q22" s="465">
        <v>-5.6115208582386522</v>
      </c>
      <c r="R22" s="465">
        <v>-4.8795890772713451</v>
      </c>
      <c r="S22" s="465"/>
    </row>
    <row r="23" spans="2:34" ht="13.5" customHeight="1">
      <c r="B23" s="464" t="s">
        <v>450</v>
      </c>
      <c r="C23" s="464" t="s">
        <v>450</v>
      </c>
      <c r="D23" s="465">
        <v>-1.7402608266035724</v>
      </c>
      <c r="E23" s="465">
        <v>-1.4552077033424218</v>
      </c>
      <c r="F23" s="465">
        <v>-1.2404425623737112</v>
      </c>
      <c r="G23" s="465">
        <v>-2.5858795943204593</v>
      </c>
      <c r="H23" s="465">
        <v>-3.0067608268949999</v>
      </c>
      <c r="I23" s="465">
        <v>-3.3565910476358494</v>
      </c>
      <c r="J23" s="465">
        <v>-6.8994133059846598</v>
      </c>
      <c r="K23" s="465">
        <v>-7.1356422533375392</v>
      </c>
      <c r="L23" s="465">
        <v>-6.1235145826596007</v>
      </c>
      <c r="M23" s="465">
        <v>-3.5869032532230936</v>
      </c>
      <c r="N23" s="465">
        <v>-2.36668189946228</v>
      </c>
      <c r="O23" s="465">
        <v>-2.7867652762854771</v>
      </c>
      <c r="P23" s="465">
        <v>-2.1302229259648238</v>
      </c>
      <c r="Q23" s="465">
        <v>-2.0703872905345597</v>
      </c>
      <c r="R23" s="465">
        <v>-1.1101703824385041</v>
      </c>
      <c r="S23" s="465"/>
      <c r="U23" s="499"/>
      <c r="V23" s="499"/>
      <c r="W23" s="499"/>
      <c r="X23" s="499"/>
      <c r="Y23" s="499"/>
      <c r="Z23" s="499"/>
      <c r="AA23" s="499"/>
      <c r="AB23" s="499"/>
      <c r="AC23" s="499"/>
      <c r="AD23" s="499"/>
      <c r="AE23" s="499"/>
      <c r="AF23" s="499"/>
      <c r="AG23" s="499"/>
      <c r="AH23" s="499"/>
    </row>
    <row r="24" spans="2:34" ht="13.5" customHeight="1">
      <c r="B24" s="464" t="s">
        <v>112</v>
      </c>
      <c r="C24" s="464" t="s">
        <v>112</v>
      </c>
      <c r="D24" s="465">
        <v>-6.6407117460779954</v>
      </c>
      <c r="E24" s="465">
        <v>-7.0053506533335783</v>
      </c>
      <c r="F24" s="465">
        <v>-7.4064007624700903</v>
      </c>
      <c r="G24" s="465">
        <v>-6.2195799223448365</v>
      </c>
      <c r="H24" s="465">
        <v>-6.8189927803688279</v>
      </c>
      <c r="I24" s="465">
        <v>-7.6178166747864502</v>
      </c>
      <c r="J24" s="465">
        <v>-9.1266849054056252</v>
      </c>
      <c r="K24" s="465">
        <v>-8.7664287297632093</v>
      </c>
      <c r="L24" s="465">
        <v>-9.5666735463741777</v>
      </c>
      <c r="M24" s="465">
        <v>-8.8729101899874738</v>
      </c>
      <c r="N24" s="465">
        <v>-8.2963598630905651</v>
      </c>
      <c r="O24" s="465">
        <v>-7.9646634780133283</v>
      </c>
      <c r="P24" s="465">
        <v>-7.7682697062354071</v>
      </c>
      <c r="Q24" s="465">
        <v>-7.7176669499662243</v>
      </c>
      <c r="R24" s="465">
        <v>-7.6275010435107111</v>
      </c>
      <c r="S24" s="465"/>
    </row>
    <row r="25" spans="2:34" ht="13.5" customHeight="1">
      <c r="B25" s="464" t="s">
        <v>281</v>
      </c>
      <c r="C25" s="464" t="s">
        <v>281</v>
      </c>
      <c r="D25" s="465">
        <v>-2.3421452233710953</v>
      </c>
      <c r="E25" s="465">
        <v>-2.6645673570981576</v>
      </c>
      <c r="F25" s="465">
        <v>-2.4637641082679225</v>
      </c>
      <c r="G25" s="465">
        <v>-2.4224629046613835</v>
      </c>
      <c r="H25" s="465">
        <v>-1.7519272828949077</v>
      </c>
      <c r="I25" s="465">
        <v>-2.1284769521891809</v>
      </c>
      <c r="J25" s="465">
        <v>-5.2796018360921932</v>
      </c>
      <c r="K25" s="465">
        <v>-3.921146424957664</v>
      </c>
      <c r="L25" s="465">
        <v>-2.1268977504524633</v>
      </c>
      <c r="M25" s="465">
        <v>-2.549641455338624</v>
      </c>
      <c r="N25" s="465">
        <v>-2.53640355980379</v>
      </c>
      <c r="O25" s="465">
        <v>-2.4127759067507535</v>
      </c>
      <c r="P25" s="465">
        <v>-2.2724161946572936</v>
      </c>
      <c r="Q25" s="465">
        <v>-2.1845955651819402</v>
      </c>
      <c r="R25" s="465">
        <v>-2.1013026435621711</v>
      </c>
      <c r="S25" s="465"/>
    </row>
    <row r="26" spans="2:34" ht="13.5" customHeight="1">
      <c r="B26" s="464" t="s">
        <v>979</v>
      </c>
      <c r="C26" s="464" t="s">
        <v>979</v>
      </c>
      <c r="D26" s="465" t="s">
        <v>139</v>
      </c>
      <c r="E26" s="465" t="s">
        <v>139</v>
      </c>
      <c r="F26" s="465" t="s">
        <v>139</v>
      </c>
      <c r="G26" s="465" t="s">
        <v>139</v>
      </c>
      <c r="H26" s="465" t="s">
        <v>139</v>
      </c>
      <c r="I26" s="465" t="s">
        <v>139</v>
      </c>
      <c r="J26" s="465" t="s">
        <v>139</v>
      </c>
      <c r="K26" s="465" t="s">
        <v>139</v>
      </c>
      <c r="L26" s="465" t="s">
        <v>139</v>
      </c>
      <c r="M26" s="465" t="s">
        <v>139</v>
      </c>
      <c r="N26" s="465" t="s">
        <v>139</v>
      </c>
      <c r="O26" s="465" t="s">
        <v>139</v>
      </c>
      <c r="P26" s="465" t="s">
        <v>139</v>
      </c>
      <c r="Q26" s="465" t="s">
        <v>139</v>
      </c>
      <c r="R26" s="465" t="s">
        <v>139</v>
      </c>
      <c r="S26" s="465"/>
    </row>
    <row r="27" spans="2:34" ht="13.5" customHeight="1">
      <c r="B27" s="464" t="s">
        <v>980</v>
      </c>
      <c r="C27" s="464" t="s">
        <v>980</v>
      </c>
      <c r="D27" s="465" t="s">
        <v>139</v>
      </c>
      <c r="E27" s="465" t="s">
        <v>139</v>
      </c>
      <c r="F27" s="465" t="s">
        <v>139</v>
      </c>
      <c r="G27" s="465" t="s">
        <v>139</v>
      </c>
      <c r="H27" s="465" t="s">
        <v>139</v>
      </c>
      <c r="I27" s="465" t="s">
        <v>139</v>
      </c>
      <c r="J27" s="465" t="s">
        <v>139</v>
      </c>
      <c r="K27" s="465" t="s">
        <v>139</v>
      </c>
      <c r="L27" s="465" t="s">
        <v>139</v>
      </c>
      <c r="M27" s="465" t="s">
        <v>139</v>
      </c>
      <c r="N27" s="465" t="s">
        <v>139</v>
      </c>
      <c r="O27" s="465" t="s">
        <v>139</v>
      </c>
      <c r="P27" s="465" t="s">
        <v>139</v>
      </c>
      <c r="Q27" s="465" t="s">
        <v>139</v>
      </c>
      <c r="R27" s="465" t="s">
        <v>139</v>
      </c>
      <c r="S27" s="465"/>
    </row>
    <row r="28" spans="2:34" ht="13.5" customHeight="1">
      <c r="B28" s="464" t="s">
        <v>981</v>
      </c>
      <c r="C28" s="464" t="s">
        <v>981</v>
      </c>
      <c r="D28" s="465" t="s">
        <v>139</v>
      </c>
      <c r="E28" s="465" t="s">
        <v>139</v>
      </c>
      <c r="F28" s="465" t="s">
        <v>139</v>
      </c>
      <c r="G28" s="465" t="s">
        <v>139</v>
      </c>
      <c r="H28" s="465" t="s">
        <v>139</v>
      </c>
      <c r="I28" s="465" t="s">
        <v>139</v>
      </c>
      <c r="J28" s="465" t="s">
        <v>139</v>
      </c>
      <c r="K28" s="465" t="s">
        <v>139</v>
      </c>
      <c r="L28" s="465" t="s">
        <v>139</v>
      </c>
      <c r="M28" s="465" t="s">
        <v>139</v>
      </c>
      <c r="N28" s="465" t="s">
        <v>139</v>
      </c>
      <c r="O28" s="465" t="s">
        <v>139</v>
      </c>
      <c r="P28" s="465" t="s">
        <v>139</v>
      </c>
      <c r="Q28" s="465" t="s">
        <v>139</v>
      </c>
      <c r="R28" s="465" t="s">
        <v>139</v>
      </c>
      <c r="S28" s="465"/>
    </row>
    <row r="29" spans="2:34" ht="13.5" customHeight="1">
      <c r="B29" s="464" t="s">
        <v>982</v>
      </c>
      <c r="C29" s="464" t="s">
        <v>982</v>
      </c>
      <c r="D29" s="465">
        <v>-13.521683606754612</v>
      </c>
      <c r="E29" s="465">
        <v>-11.580689565995339</v>
      </c>
      <c r="F29" s="465">
        <v>-11.498537702467443</v>
      </c>
      <c r="G29" s="465">
        <v>-13.769694170314278</v>
      </c>
      <c r="H29" s="465">
        <v>-12.726242845625107</v>
      </c>
      <c r="I29" s="465">
        <v>-18.399184113467125</v>
      </c>
      <c r="J29" s="465">
        <v>-12.102270726532909</v>
      </c>
      <c r="K29" s="465" t="s">
        <v>145</v>
      </c>
      <c r="L29" s="465" t="s">
        <v>145</v>
      </c>
      <c r="M29" s="465" t="s">
        <v>145</v>
      </c>
      <c r="N29" s="500" t="s">
        <v>145</v>
      </c>
      <c r="O29" s="500" t="s">
        <v>145</v>
      </c>
      <c r="P29" s="500" t="s">
        <v>145</v>
      </c>
      <c r="Q29" s="500" t="s">
        <v>145</v>
      </c>
      <c r="R29" s="500" t="s">
        <v>145</v>
      </c>
      <c r="S29" s="465"/>
    </row>
    <row r="30" spans="2:34" ht="13.5" customHeight="1">
      <c r="B30" s="464" t="s">
        <v>984</v>
      </c>
      <c r="C30" s="464" t="s">
        <v>984</v>
      </c>
      <c r="D30" s="465">
        <v>-2.5765720353048169</v>
      </c>
      <c r="E30" s="465">
        <v>-2.6474223083319539</v>
      </c>
      <c r="F30" s="465">
        <v>-2.7068493952747912</v>
      </c>
      <c r="G30" s="465">
        <v>-2.5905773808702124</v>
      </c>
      <c r="H30" s="465">
        <v>-3.5687325328437667</v>
      </c>
      <c r="I30" s="465">
        <v>-1.6266383076060913</v>
      </c>
      <c r="J30" s="465">
        <v>-3.9289103526093583</v>
      </c>
      <c r="K30" s="465">
        <v>-4.918100695718878</v>
      </c>
      <c r="L30" s="465">
        <v>-5.5448110749229675</v>
      </c>
      <c r="M30" s="465">
        <v>-5.1052418326419886</v>
      </c>
      <c r="N30" s="465">
        <v>-4.8162501296106628</v>
      </c>
      <c r="O30" s="465">
        <v>-4.7755094337260457</v>
      </c>
      <c r="P30" s="465">
        <v>-4.6338445351862152</v>
      </c>
      <c r="Q30" s="465">
        <v>-4.5714737763674753</v>
      </c>
      <c r="R30" s="465">
        <v>-4.4706867071864727</v>
      </c>
      <c r="S30" s="465"/>
    </row>
    <row r="31" spans="2:34" ht="13.5" customHeight="1">
      <c r="B31" s="464" t="s">
        <v>120</v>
      </c>
      <c r="C31" s="464" t="s">
        <v>120</v>
      </c>
      <c r="D31" s="465">
        <v>-4.4718101055814516</v>
      </c>
      <c r="E31" s="465">
        <v>-4.2289553670001059</v>
      </c>
      <c r="F31" s="465">
        <v>-4.0544676579482397</v>
      </c>
      <c r="G31" s="465">
        <v>-2.6202301187828825</v>
      </c>
      <c r="H31" s="465">
        <v>-2.3596337427950056</v>
      </c>
      <c r="I31" s="465">
        <v>-2.1151240427694717</v>
      </c>
      <c r="J31" s="465">
        <v>-3.2732910002492495</v>
      </c>
      <c r="K31" s="465">
        <v>-3.3828360339717194</v>
      </c>
      <c r="L31" s="465">
        <v>-4.3290229773243603</v>
      </c>
      <c r="M31" s="465">
        <v>-4.0296941522466101</v>
      </c>
      <c r="N31" s="465">
        <v>-2.5839822186900863</v>
      </c>
      <c r="O31" s="465">
        <v>-2.5832217168991192</v>
      </c>
      <c r="P31" s="465">
        <v>-2.6074070737631612</v>
      </c>
      <c r="Q31" s="465">
        <v>-2.6422647910270198</v>
      </c>
      <c r="R31" s="465">
        <v>-2.6551406869130054</v>
      </c>
      <c r="S31" s="465"/>
    </row>
    <row r="32" spans="2:34" ht="13.5" customHeight="1">
      <c r="B32" s="464" t="s">
        <v>985</v>
      </c>
      <c r="C32" s="464" t="s">
        <v>985</v>
      </c>
      <c r="D32" s="465">
        <v>-6.1064635953830528</v>
      </c>
      <c r="E32" s="465">
        <v>-4.8022959189753545</v>
      </c>
      <c r="F32" s="465">
        <v>-4.9190928557222255</v>
      </c>
      <c r="G32" s="465">
        <v>-4.298324052468641</v>
      </c>
      <c r="H32" s="465">
        <v>-3.8503575914066666</v>
      </c>
      <c r="I32" s="465">
        <v>-3.8315424455033482</v>
      </c>
      <c r="J32" s="465">
        <v>-5.5465474712208929</v>
      </c>
      <c r="K32" s="465">
        <v>-5.9462414921864593</v>
      </c>
      <c r="L32" s="465">
        <v>-4.9706089504744453</v>
      </c>
      <c r="M32" s="465">
        <v>-4.8762717706597218</v>
      </c>
      <c r="N32" s="465">
        <v>-4.3632265207871095</v>
      </c>
      <c r="O32" s="465">
        <v>-3.7830909168038191</v>
      </c>
      <c r="P32" s="465">
        <v>-3.3242104488828863</v>
      </c>
      <c r="Q32" s="465">
        <v>-3.1080448583691624</v>
      </c>
      <c r="R32" s="465">
        <v>-3.0855908139500889</v>
      </c>
      <c r="S32" s="465"/>
    </row>
    <row r="33" spans="2:19" ht="13.5" customHeight="1">
      <c r="B33" s="464" t="s">
        <v>986</v>
      </c>
      <c r="C33" s="464" t="s">
        <v>986</v>
      </c>
      <c r="D33" s="465" t="s">
        <v>139</v>
      </c>
      <c r="E33" s="465" t="s">
        <v>139</v>
      </c>
      <c r="F33" s="465" t="s">
        <v>139</v>
      </c>
      <c r="G33" s="465" t="s">
        <v>139</v>
      </c>
      <c r="H33" s="465" t="s">
        <v>139</v>
      </c>
      <c r="I33" s="465" t="s">
        <v>139</v>
      </c>
      <c r="J33" s="465" t="s">
        <v>139</v>
      </c>
      <c r="K33" s="465" t="s">
        <v>139</v>
      </c>
      <c r="L33" s="465" t="s">
        <v>139</v>
      </c>
      <c r="M33" s="465" t="s">
        <v>139</v>
      </c>
      <c r="N33" s="465" t="s">
        <v>139</v>
      </c>
      <c r="O33" s="465" t="s">
        <v>139</v>
      </c>
      <c r="P33" s="465" t="s">
        <v>139</v>
      </c>
      <c r="Q33" s="465" t="s">
        <v>139</v>
      </c>
      <c r="R33" s="465" t="s">
        <v>139</v>
      </c>
      <c r="S33" s="465"/>
    </row>
    <row r="34" spans="2:19" ht="13.5" customHeight="1">
      <c r="B34" s="464" t="s">
        <v>987</v>
      </c>
      <c r="C34" s="464" t="s">
        <v>987</v>
      </c>
      <c r="D34" s="465" t="s">
        <v>139</v>
      </c>
      <c r="E34" s="465" t="s">
        <v>139</v>
      </c>
      <c r="F34" s="465" t="s">
        <v>139</v>
      </c>
      <c r="G34" s="465" t="s">
        <v>139</v>
      </c>
      <c r="H34" s="465" t="s">
        <v>139</v>
      </c>
      <c r="I34" s="465" t="s">
        <v>139</v>
      </c>
      <c r="J34" s="465" t="s">
        <v>139</v>
      </c>
      <c r="K34" s="465" t="s">
        <v>139</v>
      </c>
      <c r="L34" s="465" t="s">
        <v>139</v>
      </c>
      <c r="M34" s="465" t="s">
        <v>139</v>
      </c>
      <c r="N34" s="465" t="s">
        <v>139</v>
      </c>
      <c r="O34" s="465" t="s">
        <v>139</v>
      </c>
      <c r="P34" s="465" t="s">
        <v>139</v>
      </c>
      <c r="Q34" s="465" t="s">
        <v>139</v>
      </c>
      <c r="R34" s="465" t="s">
        <v>139</v>
      </c>
      <c r="S34" s="465"/>
    </row>
    <row r="35" spans="2:19" ht="13.5" customHeight="1">
      <c r="B35" s="464" t="s">
        <v>988</v>
      </c>
      <c r="C35" s="464" t="s">
        <v>988</v>
      </c>
      <c r="D35" s="465">
        <v>-0.12121332864632917</v>
      </c>
      <c r="E35" s="465">
        <v>-1.5430718473317209</v>
      </c>
      <c r="F35" s="465">
        <v>-1.8194429207075349</v>
      </c>
      <c r="G35" s="465">
        <v>-2.0608896667392513</v>
      </c>
      <c r="H35" s="465">
        <v>-1.6124525039547994</v>
      </c>
      <c r="I35" s="465">
        <v>-0.62845065388170451</v>
      </c>
      <c r="J35" s="465">
        <v>-5.9852412760275993</v>
      </c>
      <c r="K35" s="465">
        <v>-3.6976731624505792</v>
      </c>
      <c r="L35" s="465">
        <v>-1.7975874189308529</v>
      </c>
      <c r="M35" s="465">
        <v>-2.2208756148035951</v>
      </c>
      <c r="N35" s="465">
        <v>-2.3234778480987779</v>
      </c>
      <c r="O35" s="465">
        <v>-1.7983406855663959</v>
      </c>
      <c r="P35" s="465">
        <v>-1.2553507134223225</v>
      </c>
      <c r="Q35" s="465">
        <v>-1.1951612498860451</v>
      </c>
      <c r="R35" s="465">
        <v>-1.1104848386120607</v>
      </c>
      <c r="S35" s="465"/>
    </row>
    <row r="36" spans="2:19" ht="13.5" customHeight="1">
      <c r="B36" s="464" t="s">
        <v>989</v>
      </c>
      <c r="C36" s="464" t="s">
        <v>989</v>
      </c>
      <c r="D36" s="465">
        <v>0.62938650909046434</v>
      </c>
      <c r="E36" s="465">
        <v>0.53625168112330979</v>
      </c>
      <c r="F36" s="465">
        <v>-0.86078610768043906</v>
      </c>
      <c r="G36" s="465">
        <v>-0.82953570649584341</v>
      </c>
      <c r="H36" s="465">
        <v>-1.5287388913265016</v>
      </c>
      <c r="I36" s="465">
        <v>-1.4507778403960387</v>
      </c>
      <c r="J36" s="465">
        <v>-3.3342538539324527</v>
      </c>
      <c r="K36" s="465">
        <v>-5.4128604333190857</v>
      </c>
      <c r="L36" s="465">
        <v>-5.3544948971685153</v>
      </c>
      <c r="M36" s="465">
        <v>-4.2883768892501273</v>
      </c>
      <c r="N36" s="465">
        <v>-3.7327420904820481</v>
      </c>
      <c r="O36" s="465">
        <v>-3.1714580421304928</v>
      </c>
      <c r="P36" s="465">
        <v>-2.8936474625309581</v>
      </c>
      <c r="Q36" s="465">
        <v>-2.4741721517740185</v>
      </c>
      <c r="R36" s="465">
        <v>-2.251340125401823</v>
      </c>
      <c r="S36" s="465"/>
    </row>
    <row r="37" spans="2:19" ht="13.5" customHeight="1">
      <c r="B37" s="464" t="s">
        <v>426</v>
      </c>
      <c r="C37" s="464" t="s">
        <v>426</v>
      </c>
      <c r="D37" s="465">
        <v>-2.86955013918248</v>
      </c>
      <c r="E37" s="465">
        <v>-2.2325667476640696</v>
      </c>
      <c r="F37" s="465">
        <v>-1.7378174966344597</v>
      </c>
      <c r="G37" s="465">
        <v>-1.6567990734037612</v>
      </c>
      <c r="H37" s="465">
        <v>-1.5069268461865388</v>
      </c>
      <c r="I37" s="465">
        <v>-2.3328396206471909</v>
      </c>
      <c r="J37" s="465">
        <v>-5.3410134639906435</v>
      </c>
      <c r="K37" s="465">
        <v>-2.1216332516309397</v>
      </c>
      <c r="L37" s="465">
        <v>-4.1750987426496096</v>
      </c>
      <c r="M37" s="465">
        <v>-3.9922150361172317</v>
      </c>
      <c r="N37" s="465">
        <v>-3.1300297344519903</v>
      </c>
      <c r="O37" s="465">
        <v>-3.6103883908579992</v>
      </c>
      <c r="P37" s="465">
        <v>-4.0514048837860601</v>
      </c>
      <c r="Q37" s="465">
        <v>-3.8269382234552056</v>
      </c>
      <c r="R37" s="465">
        <v>-3.5287225591796636</v>
      </c>
      <c r="S37" s="465"/>
    </row>
    <row r="38" spans="2:19" ht="13.5" customHeight="1">
      <c r="B38" s="464" t="s">
        <v>990</v>
      </c>
      <c r="C38" s="464" t="s">
        <v>990</v>
      </c>
      <c r="D38" s="465" t="s">
        <v>139</v>
      </c>
      <c r="E38" s="465" t="s">
        <v>139</v>
      </c>
      <c r="F38" s="465" t="s">
        <v>139</v>
      </c>
      <c r="G38" s="465" t="s">
        <v>139</v>
      </c>
      <c r="H38" s="465" t="s">
        <v>139</v>
      </c>
      <c r="I38" s="465" t="s">
        <v>139</v>
      </c>
      <c r="J38" s="465" t="s">
        <v>139</v>
      </c>
      <c r="K38" s="465" t="s">
        <v>139</v>
      </c>
      <c r="L38" s="465" t="s">
        <v>139</v>
      </c>
      <c r="M38" s="465" t="s">
        <v>139</v>
      </c>
      <c r="N38" s="465" t="s">
        <v>139</v>
      </c>
      <c r="O38" s="465" t="s">
        <v>139</v>
      </c>
      <c r="P38" s="465" t="s">
        <v>139</v>
      </c>
      <c r="Q38" s="465" t="s">
        <v>139</v>
      </c>
      <c r="R38" s="465" t="s">
        <v>139</v>
      </c>
      <c r="S38" s="465"/>
    </row>
    <row r="39" spans="2:19" ht="13.5" customHeight="1">
      <c r="B39" s="464" t="s">
        <v>445</v>
      </c>
      <c r="C39" s="464" t="s">
        <v>445</v>
      </c>
      <c r="D39" s="465">
        <v>-1.0520194562786422</v>
      </c>
      <c r="E39" s="465">
        <v>-0.42103731236165759</v>
      </c>
      <c r="F39" s="465">
        <v>-1.404648278636639</v>
      </c>
      <c r="G39" s="465">
        <v>-3.0886690132933614</v>
      </c>
      <c r="H39" s="465">
        <v>-3.7862525464641577</v>
      </c>
      <c r="I39" s="465">
        <v>-5.659740154027566</v>
      </c>
      <c r="J39" s="465">
        <v>-8.1488400978001856</v>
      </c>
      <c r="K39" s="465">
        <v>-6.7541978411831112</v>
      </c>
      <c r="L39" s="465">
        <v>-6.1821455494915183</v>
      </c>
      <c r="M39" s="465">
        <v>-5.6279042533915549</v>
      </c>
      <c r="N39" s="465">
        <v>-5.0998933750429449</v>
      </c>
      <c r="O39" s="465">
        <v>-4.8095244244678481</v>
      </c>
      <c r="P39" s="465">
        <v>-4.4534099542331802</v>
      </c>
      <c r="Q39" s="465">
        <v>-4.3767444048206938</v>
      </c>
      <c r="R39" s="465">
        <v>-4.3755579048939355</v>
      </c>
      <c r="S39" s="465"/>
    </row>
    <row r="40" spans="2:19" ht="13.5" customHeight="1">
      <c r="B40" s="464" t="s">
        <v>116</v>
      </c>
      <c r="C40" s="464" t="s">
        <v>116</v>
      </c>
      <c r="D40" s="465">
        <v>-0.1341306610717628</v>
      </c>
      <c r="E40" s="465">
        <v>-3.076833497261239</v>
      </c>
      <c r="F40" s="465">
        <v>-3.2089296118275414</v>
      </c>
      <c r="G40" s="465">
        <v>-1.0017630472737686</v>
      </c>
      <c r="H40" s="465">
        <v>2.9439723927989561</v>
      </c>
      <c r="I40" s="465">
        <v>1.9874815556887204</v>
      </c>
      <c r="J40" s="465">
        <v>-4.3618049551731195</v>
      </c>
      <c r="K40" s="465">
        <v>0.49915446324058765</v>
      </c>
      <c r="L40" s="465">
        <v>-1.977647838973438</v>
      </c>
      <c r="M40" s="465">
        <v>-5.8778881119957651</v>
      </c>
      <c r="N40" s="465">
        <v>-2.5934586282444876</v>
      </c>
      <c r="O40" s="465">
        <v>-1.7038841010879509</v>
      </c>
      <c r="P40" s="465">
        <v>-0.68976925896012553</v>
      </c>
      <c r="Q40" s="465">
        <v>-0.27536422341984812</v>
      </c>
      <c r="R40" s="465">
        <v>0.26907415914895877</v>
      </c>
      <c r="S40" s="465"/>
    </row>
    <row r="41" spans="2:19" ht="13.5" customHeight="1">
      <c r="B41" s="464" t="s">
        <v>123</v>
      </c>
      <c r="C41" s="464" t="s">
        <v>123</v>
      </c>
      <c r="D41" s="465" t="s">
        <v>139</v>
      </c>
      <c r="E41" s="465" t="s">
        <v>139</v>
      </c>
      <c r="F41" s="465" t="s">
        <v>139</v>
      </c>
      <c r="G41" s="465" t="s">
        <v>139</v>
      </c>
      <c r="H41" s="465" t="s">
        <v>139</v>
      </c>
      <c r="I41" s="465" t="s">
        <v>139</v>
      </c>
      <c r="J41" s="465" t="s">
        <v>139</v>
      </c>
      <c r="K41" s="465" t="s">
        <v>139</v>
      </c>
      <c r="L41" s="465" t="s">
        <v>139</v>
      </c>
      <c r="M41" s="465" t="s">
        <v>139</v>
      </c>
      <c r="N41" s="465" t="s">
        <v>139</v>
      </c>
      <c r="O41" s="465" t="s">
        <v>139</v>
      </c>
      <c r="P41" s="465" t="s">
        <v>139</v>
      </c>
      <c r="Q41" s="465" t="s">
        <v>139</v>
      </c>
      <c r="R41" s="465" t="s">
        <v>139</v>
      </c>
      <c r="S41" s="465"/>
    </row>
    <row r="42" spans="2:19" ht="13.5" customHeight="1">
      <c r="B42" s="464" t="s">
        <v>124</v>
      </c>
      <c r="C42" s="464" t="s">
        <v>124</v>
      </c>
      <c r="D42" s="465">
        <v>-3.9729292759502064</v>
      </c>
      <c r="E42" s="465">
        <v>-4.1699852866294167</v>
      </c>
      <c r="F42" s="465">
        <v>-3.5931240137033105</v>
      </c>
      <c r="G42" s="465">
        <v>-3.8323547152157071</v>
      </c>
      <c r="H42" s="465">
        <v>-3.679353486926709</v>
      </c>
      <c r="I42" s="465">
        <v>-4.4061464105784642</v>
      </c>
      <c r="J42" s="465">
        <v>-5.7420100071672104</v>
      </c>
      <c r="K42" s="465">
        <v>-5.016174814866126</v>
      </c>
      <c r="L42" s="465">
        <v>-5.4782644558137727</v>
      </c>
      <c r="M42" s="465">
        <v>-6.3516834875010186</v>
      </c>
      <c r="N42" s="465">
        <v>-6.4043836115027188</v>
      </c>
      <c r="O42" s="465">
        <v>-6.2242929963399787</v>
      </c>
      <c r="P42" s="465">
        <v>-6.3152859085708108</v>
      </c>
      <c r="Q42" s="465">
        <v>-6.2869647758942744</v>
      </c>
      <c r="R42" s="465">
        <v>-6.4603576797027067</v>
      </c>
      <c r="S42" s="465"/>
    </row>
    <row r="43" spans="2:19" ht="13.5" customHeight="1">
      <c r="B43" s="464" t="s">
        <v>991</v>
      </c>
      <c r="C43" s="464" t="s">
        <v>991</v>
      </c>
      <c r="D43" s="465" t="s">
        <v>139</v>
      </c>
      <c r="E43" s="465" t="s">
        <v>139</v>
      </c>
      <c r="F43" s="465" t="s">
        <v>139</v>
      </c>
      <c r="G43" s="465" t="s">
        <v>139</v>
      </c>
      <c r="H43" s="465" t="s">
        <v>139</v>
      </c>
      <c r="I43" s="465" t="s">
        <v>139</v>
      </c>
      <c r="J43" s="465" t="s">
        <v>139</v>
      </c>
      <c r="K43" s="465" t="s">
        <v>139</v>
      </c>
      <c r="L43" s="465" t="s">
        <v>139</v>
      </c>
      <c r="M43" s="465" t="s">
        <v>145</v>
      </c>
      <c r="N43" s="465" t="s">
        <v>145</v>
      </c>
      <c r="O43" s="465" t="s">
        <v>145</v>
      </c>
      <c r="P43" s="465" t="s">
        <v>145</v>
      </c>
      <c r="Q43" s="465" t="s">
        <v>145</v>
      </c>
      <c r="R43" s="465" t="s">
        <v>145</v>
      </c>
      <c r="S43" s="465"/>
    </row>
    <row r="44" spans="2:19" ht="13.5" customHeight="1">
      <c r="B44" s="464" t="s">
        <v>992</v>
      </c>
      <c r="C44" s="464" t="s">
        <v>992</v>
      </c>
      <c r="D44" s="465">
        <v>-0.70576168545580698</v>
      </c>
      <c r="E44" s="465">
        <v>0.35538909517838829</v>
      </c>
      <c r="F44" s="465">
        <v>0.76289313358408906</v>
      </c>
      <c r="G44" s="465">
        <v>-0.40121777328781216</v>
      </c>
      <c r="H44" s="465">
        <v>-0.14063131004985013</v>
      </c>
      <c r="I44" s="465">
        <v>-0.96342636991130248</v>
      </c>
      <c r="J44" s="465">
        <v>-3.7807554844708013</v>
      </c>
      <c r="K44" s="465">
        <v>-5.8125275894998074</v>
      </c>
      <c r="L44" s="465">
        <v>-5.1553471503867572</v>
      </c>
      <c r="M44" s="465">
        <v>-2.902051828547151</v>
      </c>
      <c r="N44" s="465">
        <v>-2.4850717857660212</v>
      </c>
      <c r="O44" s="465">
        <v>-3.1311676793526098</v>
      </c>
      <c r="P44" s="465">
        <v>-3.2598522687736344</v>
      </c>
      <c r="Q44" s="465">
        <v>-3.3568370131366057</v>
      </c>
      <c r="R44" s="465">
        <v>-2.6616420686842499</v>
      </c>
      <c r="S44" s="465"/>
    </row>
    <row r="45" spans="2:19">
      <c r="B45" s="464" t="s">
        <v>993</v>
      </c>
      <c r="C45" s="464" t="s">
        <v>993</v>
      </c>
      <c r="D45" s="465">
        <v>-1.6107696232022028</v>
      </c>
      <c r="E45" s="465">
        <v>-1.6056500411168808</v>
      </c>
      <c r="F45" s="465">
        <v>-2.1244696658267657</v>
      </c>
      <c r="G45" s="465">
        <v>-2.9166695190773133</v>
      </c>
      <c r="H45" s="465">
        <v>-4.1588787094291142</v>
      </c>
      <c r="I45" s="465">
        <v>-4.0149990446965651</v>
      </c>
      <c r="J45" s="465">
        <v>-3.6265446531593062</v>
      </c>
      <c r="K45" s="465">
        <v>-4.4142539268772145</v>
      </c>
      <c r="L45" s="465">
        <v>-2.3289366908661711</v>
      </c>
      <c r="M45" s="465">
        <v>-7.1718808324250425</v>
      </c>
      <c r="N45" s="465">
        <v>-6.4003914952036416</v>
      </c>
      <c r="O45" s="465">
        <v>-6.1219215171797003</v>
      </c>
      <c r="P45" s="465">
        <v>-5.918900111865784</v>
      </c>
      <c r="Q45" s="465">
        <v>-5.7486338759905751</v>
      </c>
      <c r="R45" s="465">
        <v>-5.6023577954632602</v>
      </c>
      <c r="S45" s="465"/>
    </row>
    <row r="46" spans="2:19">
      <c r="B46" s="464" t="s">
        <v>994</v>
      </c>
      <c r="C46" s="464" t="s">
        <v>994</v>
      </c>
      <c r="D46" s="465">
        <v>-3.21353519320553</v>
      </c>
      <c r="E46" s="465">
        <v>1.4521248109498524</v>
      </c>
      <c r="F46" s="465">
        <v>-0.93039428571736471</v>
      </c>
      <c r="G46" s="465">
        <v>-1.4127588092591621</v>
      </c>
      <c r="H46" s="465">
        <v>-2.1921944749334279</v>
      </c>
      <c r="I46" s="465">
        <v>-1.6775049150663917</v>
      </c>
      <c r="J46" s="465">
        <v>-4.3687337007702487</v>
      </c>
      <c r="K46" s="465">
        <v>-3.2660403607079753</v>
      </c>
      <c r="L46" s="465" t="s">
        <v>145</v>
      </c>
      <c r="M46" s="465" t="s">
        <v>145</v>
      </c>
      <c r="N46" s="465" t="s">
        <v>145</v>
      </c>
      <c r="O46" s="465" t="s">
        <v>145</v>
      </c>
      <c r="P46" s="465" t="s">
        <v>145</v>
      </c>
      <c r="Q46" s="465" t="s">
        <v>145</v>
      </c>
      <c r="R46" s="465" t="s">
        <v>145</v>
      </c>
      <c r="S46" s="465"/>
    </row>
    <row r="47" spans="2:19">
      <c r="B47" s="464" t="s">
        <v>995</v>
      </c>
      <c r="C47" s="464" t="s">
        <v>995</v>
      </c>
      <c r="D47" s="465" t="s">
        <v>139</v>
      </c>
      <c r="E47" s="465" t="s">
        <v>139</v>
      </c>
      <c r="F47" s="465" t="s">
        <v>139</v>
      </c>
      <c r="G47" s="465" t="s">
        <v>139</v>
      </c>
      <c r="H47" s="465" t="s">
        <v>139</v>
      </c>
      <c r="I47" s="465" t="s">
        <v>139</v>
      </c>
      <c r="J47" s="465" t="s">
        <v>139</v>
      </c>
      <c r="K47" s="465" t="s">
        <v>139</v>
      </c>
      <c r="L47" s="465" t="s">
        <v>139</v>
      </c>
      <c r="M47" s="465" t="s">
        <v>139</v>
      </c>
      <c r="N47" s="465" t="s">
        <v>139</v>
      </c>
      <c r="O47" s="465" t="s">
        <v>139</v>
      </c>
      <c r="P47" s="465" t="s">
        <v>139</v>
      </c>
      <c r="Q47" s="465" t="s">
        <v>139</v>
      </c>
      <c r="R47" s="465" t="s">
        <v>139</v>
      </c>
      <c r="S47" s="465"/>
    </row>
    <row r="48" spans="2:19">
      <c r="B48" s="464" t="s">
        <v>1006</v>
      </c>
      <c r="C48" s="464" t="s">
        <v>997</v>
      </c>
      <c r="D48" s="465">
        <v>-3.4157016107413138</v>
      </c>
      <c r="E48" s="465">
        <v>-1.9388427578850498</v>
      </c>
      <c r="F48" s="465">
        <v>-2.6106955376020702</v>
      </c>
      <c r="G48" s="465">
        <v>-2.5819832647558316</v>
      </c>
      <c r="H48" s="465">
        <v>-1.9179733475831704</v>
      </c>
      <c r="I48" s="465">
        <v>-2.4821182814897758</v>
      </c>
      <c r="J48" s="465">
        <v>-3.2048327300905926</v>
      </c>
      <c r="K48" s="465">
        <v>-1.760554763881115</v>
      </c>
      <c r="L48" s="465">
        <v>-2.2300270303853074</v>
      </c>
      <c r="M48" s="465">
        <v>-1.98727837452531</v>
      </c>
      <c r="N48" s="465">
        <v>-2.3882906404352178</v>
      </c>
      <c r="O48" s="465">
        <v>-2.2885340068840603</v>
      </c>
      <c r="P48" s="465">
        <v>-2.2227904317542291</v>
      </c>
      <c r="Q48" s="465">
        <v>-2.0893267962114113</v>
      </c>
      <c r="R48" s="465">
        <v>-1.8715031402579045</v>
      </c>
      <c r="S48" s="465"/>
    </row>
    <row r="49" spans="2:19">
      <c r="B49" s="466" t="s">
        <v>998</v>
      </c>
      <c r="C49" s="466" t="s">
        <v>998</v>
      </c>
      <c r="D49" s="467" t="s">
        <v>139</v>
      </c>
      <c r="E49" s="467" t="s">
        <v>139</v>
      </c>
      <c r="F49" s="467" t="s">
        <v>139</v>
      </c>
      <c r="G49" s="467" t="s">
        <v>139</v>
      </c>
      <c r="H49" s="467" t="s">
        <v>139</v>
      </c>
      <c r="I49" s="467" t="s">
        <v>139</v>
      </c>
      <c r="J49" s="467" t="s">
        <v>139</v>
      </c>
      <c r="K49" s="467" t="s">
        <v>139</v>
      </c>
      <c r="L49" s="467" t="s">
        <v>139</v>
      </c>
      <c r="M49" s="467" t="s">
        <v>139</v>
      </c>
      <c r="N49" s="467" t="s">
        <v>139</v>
      </c>
      <c r="O49" s="467" t="s">
        <v>139</v>
      </c>
      <c r="P49" s="467" t="s">
        <v>139</v>
      </c>
      <c r="Q49" s="467" t="s">
        <v>139</v>
      </c>
      <c r="R49" s="467" t="s">
        <v>139</v>
      </c>
      <c r="S49" s="465"/>
    </row>
    <row r="50" spans="2:19" ht="6" customHeight="1">
      <c r="B50" s="464"/>
      <c r="C50" s="464"/>
      <c r="D50" s="465"/>
      <c r="E50" s="465"/>
      <c r="F50" s="465"/>
      <c r="G50" s="465"/>
      <c r="H50" s="465"/>
      <c r="I50" s="465"/>
      <c r="J50" s="465"/>
      <c r="K50" s="465"/>
      <c r="L50" s="465"/>
      <c r="M50" s="465"/>
      <c r="N50" s="465"/>
      <c r="O50" s="465"/>
      <c r="P50" s="465"/>
      <c r="Q50" s="465"/>
      <c r="R50" s="465"/>
      <c r="S50" s="465"/>
    </row>
    <row r="51" spans="2:19" ht="16.5" customHeight="1">
      <c r="B51" s="613" t="s">
        <v>927</v>
      </c>
      <c r="C51" s="613"/>
      <c r="D51" s="613"/>
      <c r="E51" s="613"/>
      <c r="F51" s="613"/>
      <c r="G51" s="613"/>
      <c r="H51" s="613"/>
      <c r="I51" s="613"/>
      <c r="J51" s="613"/>
      <c r="K51" s="613"/>
      <c r="L51" s="613"/>
      <c r="M51" s="613"/>
      <c r="N51" s="613"/>
      <c r="O51" s="613"/>
      <c r="P51" s="613"/>
      <c r="Q51" s="468"/>
      <c r="R51" s="468"/>
    </row>
    <row r="52" spans="2:19" ht="12" customHeight="1">
      <c r="B52" s="613" t="s">
        <v>999</v>
      </c>
      <c r="C52" s="613"/>
      <c r="D52" s="613"/>
      <c r="E52" s="613"/>
      <c r="F52" s="613"/>
      <c r="G52" s="613"/>
      <c r="H52" s="613"/>
      <c r="I52" s="613"/>
      <c r="J52" s="613"/>
      <c r="K52" s="613"/>
      <c r="L52" s="613"/>
      <c r="M52" s="613"/>
      <c r="N52" s="613"/>
      <c r="O52" s="613"/>
      <c r="P52" s="613"/>
      <c r="Q52" s="613"/>
      <c r="R52" s="613"/>
    </row>
    <row r="53" spans="2:19" ht="15" customHeight="1">
      <c r="B53" s="618" t="s">
        <v>1012</v>
      </c>
      <c r="C53" s="618"/>
      <c r="D53" s="618"/>
      <c r="E53" s="618"/>
      <c r="F53" s="618"/>
      <c r="G53" s="618"/>
      <c r="H53" s="618"/>
      <c r="I53" s="618"/>
      <c r="J53" s="618"/>
      <c r="K53" s="618"/>
      <c r="L53" s="618"/>
      <c r="M53" s="618"/>
      <c r="N53" s="618"/>
      <c r="O53" s="618"/>
      <c r="P53" s="618"/>
      <c r="Q53" s="618"/>
      <c r="R53" s="618"/>
    </row>
    <row r="54" spans="2:19" ht="15.75" customHeight="1">
      <c r="B54" s="618" t="s">
        <v>1013</v>
      </c>
      <c r="C54" s="618"/>
      <c r="D54" s="618"/>
      <c r="E54" s="618"/>
      <c r="F54" s="618"/>
      <c r="G54" s="618"/>
      <c r="H54" s="618"/>
      <c r="I54" s="618"/>
      <c r="J54" s="618"/>
      <c r="K54" s="618"/>
      <c r="L54" s="618"/>
      <c r="M54" s="618"/>
      <c r="N54" s="618"/>
      <c r="O54" s="618"/>
      <c r="P54" s="618"/>
      <c r="Q54" s="618"/>
      <c r="R54" s="618"/>
    </row>
    <row r="55" spans="2:19" ht="96.75" customHeight="1">
      <c r="B55" s="618" t="s">
        <v>1014</v>
      </c>
      <c r="C55" s="618"/>
      <c r="D55" s="618"/>
      <c r="E55" s="618"/>
      <c r="F55" s="618"/>
      <c r="G55" s="618"/>
      <c r="H55" s="618"/>
      <c r="I55" s="618"/>
      <c r="J55" s="618"/>
      <c r="K55" s="618"/>
      <c r="L55" s="618"/>
      <c r="M55" s="618"/>
      <c r="N55" s="618"/>
      <c r="O55" s="618"/>
      <c r="P55" s="618"/>
      <c r="Q55" s="618"/>
      <c r="R55" s="618"/>
    </row>
    <row r="56" spans="2:19" ht="87.75" customHeight="1">
      <c r="B56" s="464"/>
      <c r="C56" s="464"/>
      <c r="D56" s="469"/>
      <c r="E56" s="469"/>
      <c r="F56" s="469"/>
      <c r="G56" s="469"/>
      <c r="H56" s="469"/>
      <c r="I56" s="469"/>
      <c r="J56" s="469"/>
      <c r="K56" s="469"/>
      <c r="L56" s="469"/>
      <c r="M56" s="469"/>
      <c r="N56" s="469"/>
      <c r="O56" s="469"/>
      <c r="P56" s="469"/>
      <c r="Q56" s="469"/>
      <c r="R56" s="469"/>
    </row>
    <row r="57" spans="2:19" ht="77.25" customHeight="1">
      <c r="B57" s="464"/>
      <c r="C57" s="464"/>
      <c r="D57" s="469"/>
      <c r="E57" s="469"/>
      <c r="F57" s="469"/>
      <c r="G57" s="469"/>
      <c r="H57" s="469"/>
      <c r="I57" s="469"/>
      <c r="J57" s="469"/>
      <c r="K57" s="469"/>
      <c r="L57" s="469"/>
      <c r="M57" s="469"/>
      <c r="N57" s="469"/>
      <c r="O57" s="469"/>
      <c r="P57" s="469"/>
      <c r="Q57" s="469"/>
      <c r="R57" s="469"/>
    </row>
    <row r="58" spans="2:19">
      <c r="B58" s="464"/>
      <c r="C58" s="464"/>
      <c r="D58" s="469"/>
      <c r="E58" s="469"/>
      <c r="F58" s="469"/>
      <c r="G58" s="469"/>
      <c r="H58" s="469"/>
      <c r="I58" s="469"/>
      <c r="J58" s="469"/>
      <c r="K58" s="469"/>
      <c r="L58" s="469"/>
      <c r="M58" s="469"/>
      <c r="N58" s="469"/>
      <c r="O58" s="469"/>
      <c r="P58" s="469"/>
      <c r="Q58" s="469"/>
      <c r="R58" s="469"/>
    </row>
    <row r="59" spans="2:19">
      <c r="B59" s="464"/>
      <c r="C59" s="464"/>
      <c r="D59" s="469"/>
      <c r="E59" s="469"/>
      <c r="F59" s="469"/>
      <c r="G59" s="469"/>
      <c r="H59" s="469"/>
      <c r="I59" s="469"/>
      <c r="J59" s="469"/>
      <c r="K59" s="469"/>
      <c r="L59" s="469"/>
      <c r="M59" s="469"/>
      <c r="N59" s="469"/>
      <c r="O59" s="469"/>
      <c r="P59" s="469"/>
      <c r="Q59" s="469"/>
      <c r="R59" s="469"/>
    </row>
    <row r="60" spans="2:19">
      <c r="B60" s="464"/>
      <c r="C60" s="464"/>
      <c r="D60" s="469"/>
      <c r="E60" s="469"/>
      <c r="F60" s="469"/>
      <c r="G60" s="469"/>
      <c r="H60" s="469"/>
      <c r="I60" s="469"/>
      <c r="J60" s="469"/>
      <c r="K60" s="469"/>
      <c r="L60" s="469"/>
      <c r="M60" s="469"/>
      <c r="N60" s="469"/>
      <c r="O60" s="469"/>
      <c r="P60" s="469"/>
      <c r="Q60" s="469"/>
      <c r="R60" s="469"/>
    </row>
    <row r="61" spans="2:19">
      <c r="B61" s="464"/>
      <c r="C61" s="464"/>
      <c r="D61" s="469"/>
      <c r="E61" s="469"/>
      <c r="F61" s="469"/>
      <c r="G61" s="469"/>
      <c r="H61" s="469"/>
      <c r="I61" s="469"/>
      <c r="J61" s="469"/>
      <c r="K61" s="469"/>
      <c r="L61" s="469"/>
      <c r="M61" s="469"/>
      <c r="N61" s="469"/>
      <c r="O61" s="469"/>
      <c r="P61" s="469"/>
      <c r="Q61" s="469"/>
      <c r="R61" s="469"/>
    </row>
    <row r="62" spans="2:19">
      <c r="B62" s="464"/>
      <c r="C62" s="464"/>
      <c r="D62" s="469"/>
      <c r="E62" s="469"/>
      <c r="F62" s="469"/>
      <c r="G62" s="469"/>
      <c r="H62" s="469"/>
      <c r="I62" s="469"/>
      <c r="J62" s="469"/>
      <c r="K62" s="469"/>
      <c r="L62" s="469"/>
      <c r="M62" s="469"/>
      <c r="N62" s="469"/>
      <c r="O62" s="469"/>
      <c r="P62" s="469"/>
      <c r="Q62" s="469"/>
      <c r="R62" s="469"/>
    </row>
    <row r="63" spans="2:19">
      <c r="B63" s="464"/>
      <c r="C63" s="464"/>
      <c r="D63" s="469"/>
      <c r="E63" s="469"/>
      <c r="F63" s="469"/>
      <c r="G63" s="469"/>
      <c r="H63" s="469"/>
      <c r="I63" s="469"/>
      <c r="J63" s="469"/>
      <c r="K63" s="469"/>
      <c r="L63" s="469"/>
      <c r="M63" s="469"/>
      <c r="N63" s="469"/>
      <c r="O63" s="469"/>
      <c r="P63" s="469"/>
      <c r="Q63" s="469"/>
      <c r="R63" s="469"/>
    </row>
    <row r="64" spans="2:19">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sheetData>
  <mergeCells count="7">
    <mergeCell ref="B55:R55"/>
    <mergeCell ref="B2:R2"/>
    <mergeCell ref="B3:R3"/>
    <mergeCell ref="B51:P51"/>
    <mergeCell ref="B52:R52"/>
    <mergeCell ref="B53:R53"/>
    <mergeCell ref="B54:R54"/>
  </mergeCells>
  <conditionalFormatting sqref="B22">
    <cfRule type="expression" dxfId="32" priority="8">
      <formula>MOD(ROW(),2)=0</formula>
    </cfRule>
  </conditionalFormatting>
  <conditionalFormatting sqref="B11:R49">
    <cfRule type="expression" dxfId="31" priority="1">
      <formula>MOD(ROW(),2)=0</formula>
    </cfRule>
  </conditionalFormatting>
  <pageMargins left="0.7" right="0.7" top="0.75" bottom="0.75" header="0.3" footer="0.3"/>
  <pageSetup scale="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E9F5-E481-4418-9349-747806DD07C6}">
  <sheetPr codeName="Sheet15">
    <pageSetUpPr fitToPage="1"/>
  </sheetPr>
  <dimension ref="A1:AI74"/>
  <sheetViews>
    <sheetView showGridLines="0" zoomScale="115" zoomScaleNormal="115" workbookViewId="0">
      <pane xSplit="3" ySplit="4" topLeftCell="G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3.42578125" style="451" customWidth="1"/>
    <col min="3" max="3" width="15.42578125" style="451" hidden="1" customWidth="1" outlineLevel="1"/>
    <col min="4" max="4" width="8.85546875" style="452" customWidth="1" collapsed="1"/>
    <col min="5" max="18" width="8.85546875" style="452" customWidth="1"/>
    <col min="19" max="19" width="2.7109375" style="452" customWidth="1"/>
    <col min="20" max="20" width="13" style="496" hidden="1" customWidth="1"/>
    <col min="21" max="29" width="0" style="496" hidden="1" customWidth="1"/>
    <col min="30" max="35" width="9.140625" style="496"/>
    <col min="36" max="16384" width="9.140625" style="451"/>
  </cols>
  <sheetData>
    <row r="1" spans="2:28">
      <c r="V1" s="497"/>
    </row>
    <row r="2" spans="2:28" ht="14.25" customHeight="1">
      <c r="B2" s="501" t="str">
        <f>"Table A12. Emerging Market and Middle-Income Economies: General Government Cyclically Adjusted Primary Balance, "&amp;D4&amp;"–"&amp;RIGHT(R4,2)</f>
        <v>Table A12. Emerging Market and Middle-Income Economies: General Government Cyclically Adjusted Primary Balance, 2014–28</v>
      </c>
      <c r="C2" s="501"/>
      <c r="D2" s="501"/>
      <c r="E2" s="501"/>
      <c r="F2" s="501"/>
      <c r="G2" s="501"/>
      <c r="H2" s="501"/>
      <c r="I2" s="501"/>
      <c r="J2" s="501"/>
      <c r="K2" s="501"/>
      <c r="L2" s="501"/>
      <c r="M2" s="502"/>
      <c r="N2" s="502"/>
      <c r="O2" s="502"/>
      <c r="P2" s="502"/>
      <c r="Q2" s="502"/>
      <c r="R2" s="502"/>
      <c r="S2" s="498"/>
      <c r="T2" s="490" t="s">
        <v>966</v>
      </c>
      <c r="V2" s="489"/>
    </row>
    <row r="3" spans="2:28">
      <c r="B3" s="619" t="s">
        <v>933</v>
      </c>
      <c r="C3" s="620"/>
      <c r="D3" s="620"/>
      <c r="E3" s="620"/>
      <c r="F3" s="620"/>
      <c r="G3" s="620"/>
      <c r="H3" s="620"/>
      <c r="I3" s="620"/>
      <c r="J3" s="620"/>
      <c r="K3" s="620"/>
      <c r="L3" s="620"/>
      <c r="M3" s="620"/>
      <c r="N3" s="620"/>
      <c r="O3" s="620"/>
      <c r="P3" s="620"/>
      <c r="Q3" s="620"/>
      <c r="R3" s="620"/>
      <c r="S3" s="498"/>
    </row>
    <row r="4" spans="2:28" ht="14.1" customHeight="1">
      <c r="B4" s="457"/>
      <c r="C4" s="457"/>
      <c r="D4" s="458">
        <v>2014</v>
      </c>
      <c r="E4" s="458">
        <v>2015</v>
      </c>
      <c r="F4" s="458">
        <v>2016</v>
      </c>
      <c r="G4" s="458">
        <v>2017</v>
      </c>
      <c r="H4" s="458">
        <v>2018</v>
      </c>
      <c r="I4" s="458">
        <v>2019</v>
      </c>
      <c r="J4" s="458">
        <v>2020</v>
      </c>
      <c r="K4" s="458">
        <v>2021</v>
      </c>
      <c r="L4" s="458">
        <v>2022</v>
      </c>
      <c r="M4" s="503">
        <v>2023</v>
      </c>
      <c r="N4" s="503">
        <v>2024</v>
      </c>
      <c r="O4" s="503">
        <v>2025</v>
      </c>
      <c r="P4" s="503">
        <v>2026</v>
      </c>
      <c r="Q4" s="503">
        <v>2027</v>
      </c>
      <c r="R4" s="503">
        <v>2028</v>
      </c>
      <c r="S4" s="469"/>
    </row>
    <row r="5" spans="2:28" ht="14.1" customHeight="1">
      <c r="B5" s="459" t="s">
        <v>196</v>
      </c>
      <c r="C5" s="491" t="s">
        <v>967</v>
      </c>
      <c r="D5" s="461">
        <v>-0.84848472107570938</v>
      </c>
      <c r="E5" s="461">
        <v>-1.7456191667735472</v>
      </c>
      <c r="F5" s="461">
        <v>-1.9929417228738977</v>
      </c>
      <c r="G5" s="461">
        <v>-1.624244824494449</v>
      </c>
      <c r="H5" s="461">
        <v>-1.7890885683106967</v>
      </c>
      <c r="I5" s="461">
        <v>-2.6840999769480671</v>
      </c>
      <c r="J5" s="461">
        <v>-5.5399915192255973</v>
      </c>
      <c r="K5" s="461">
        <v>-3.3441254311459212</v>
      </c>
      <c r="L5" s="461">
        <v>-3.8085418156485691</v>
      </c>
      <c r="M5" s="504">
        <v>-3.8970147488377167</v>
      </c>
      <c r="N5" s="504">
        <v>-3.1788844425717113</v>
      </c>
      <c r="O5" s="504">
        <v>-2.9218935327851763</v>
      </c>
      <c r="P5" s="504">
        <v>-2.6647438655029938</v>
      </c>
      <c r="Q5" s="504">
        <v>-2.4360700715031114</v>
      </c>
      <c r="R5" s="504">
        <v>-2.2866291360314381</v>
      </c>
      <c r="S5" s="469"/>
    </row>
    <row r="6" spans="2:28" ht="14.1" customHeight="1">
      <c r="B6" s="492" t="s">
        <v>108</v>
      </c>
      <c r="C6" s="491" t="s">
        <v>109</v>
      </c>
      <c r="D6" s="461">
        <v>-0.45560832713823896</v>
      </c>
      <c r="E6" s="461">
        <v>-1.6514035667454714</v>
      </c>
      <c r="F6" s="461">
        <v>-2.2184933809562626</v>
      </c>
      <c r="G6" s="461">
        <v>-2.0394040955289583</v>
      </c>
      <c r="H6" s="461">
        <v>-2.7563908967885493</v>
      </c>
      <c r="I6" s="461">
        <v>-4.0570550910845089</v>
      </c>
      <c r="J6" s="461">
        <v>-6.4850678410072478</v>
      </c>
      <c r="K6" s="461">
        <v>-4.3622986809740176</v>
      </c>
      <c r="L6" s="461">
        <v>-5.1207109245921485</v>
      </c>
      <c r="M6" s="504">
        <v>-4.6192146322476999</v>
      </c>
      <c r="N6" s="504">
        <v>-4.1860176113932059</v>
      </c>
      <c r="O6" s="504">
        <v>-4.005847178028545</v>
      </c>
      <c r="P6" s="504">
        <v>-3.8032351416374692</v>
      </c>
      <c r="Q6" s="504">
        <v>-3.5485836918329219</v>
      </c>
      <c r="R6" s="504">
        <v>-3.4152053272210345</v>
      </c>
      <c r="S6" s="469"/>
    </row>
    <row r="7" spans="2:28" ht="14.1" customHeight="1">
      <c r="B7" s="492" t="s">
        <v>113</v>
      </c>
      <c r="C7" s="491" t="s">
        <v>114</v>
      </c>
      <c r="D7" s="461">
        <v>9.264008293650941E-2</v>
      </c>
      <c r="E7" s="461">
        <v>-0.96457439540266843</v>
      </c>
      <c r="F7" s="461">
        <v>-1.1017142200879293</v>
      </c>
      <c r="G7" s="461">
        <v>-0.52963405713164413</v>
      </c>
      <c r="H7" s="461">
        <v>0.93663645600431755</v>
      </c>
      <c r="I7" s="461">
        <v>0.17976929661153296</v>
      </c>
      <c r="J7" s="461">
        <v>-3.686418810158111</v>
      </c>
      <c r="K7" s="461">
        <v>-1.0458636693535284</v>
      </c>
      <c r="L7" s="461">
        <v>-2.3042574030988443</v>
      </c>
      <c r="M7" s="504">
        <v>-4.5959360004607452</v>
      </c>
      <c r="N7" s="504">
        <v>-2.4568049483992684</v>
      </c>
      <c r="O7" s="504">
        <v>-1.788831915787227</v>
      </c>
      <c r="P7" s="504">
        <v>-1.1659735913138172</v>
      </c>
      <c r="Q7" s="504">
        <v>-0.94657391714022709</v>
      </c>
      <c r="R7" s="504">
        <v>-0.63329845310139665</v>
      </c>
      <c r="S7" s="469"/>
    </row>
    <row r="8" spans="2:28" ht="14.1" customHeight="1">
      <c r="B8" s="492" t="s">
        <v>117</v>
      </c>
      <c r="C8" s="491" t="s">
        <v>118</v>
      </c>
      <c r="D8" s="461">
        <v>-1.8635781886187655</v>
      </c>
      <c r="E8" s="461">
        <v>-2.0500444438650733</v>
      </c>
      <c r="F8" s="461">
        <v>-1.5574980330871286</v>
      </c>
      <c r="G8" s="461">
        <v>-0.89619948397086391</v>
      </c>
      <c r="H8" s="461">
        <v>-0.48901239754745163</v>
      </c>
      <c r="I8" s="461">
        <v>0.16509115968244978</v>
      </c>
      <c r="J8" s="461">
        <v>-3.631813801436258</v>
      </c>
      <c r="K8" s="461">
        <v>-0.96853585424961952</v>
      </c>
      <c r="L8" s="461">
        <v>-0.19987712612337266</v>
      </c>
      <c r="M8" s="504">
        <v>-0.88315864090987373</v>
      </c>
      <c r="N8" s="504">
        <v>0.16632410118196964</v>
      </c>
      <c r="O8" s="504">
        <v>0.5172979269545589</v>
      </c>
      <c r="P8" s="504">
        <v>0.85002709870256821</v>
      </c>
      <c r="Q8" s="504">
        <v>1.0784949858770423</v>
      </c>
      <c r="R8" s="504">
        <v>1.2959782393554669</v>
      </c>
      <c r="S8" s="469"/>
    </row>
    <row r="9" spans="2:28" ht="14.1" customHeight="1">
      <c r="B9" s="492" t="s">
        <v>121</v>
      </c>
      <c r="C9" s="491" t="s">
        <v>122</v>
      </c>
      <c r="D9" s="461">
        <v>-5.2413782363684787</v>
      </c>
      <c r="E9" s="461">
        <v>-6.1549414424310944</v>
      </c>
      <c r="F9" s="461">
        <v>-5.1385882870003039</v>
      </c>
      <c r="G9" s="461">
        <v>-3.4808874503399458</v>
      </c>
      <c r="H9" s="461">
        <v>-2.2075759045812768</v>
      </c>
      <c r="I9" s="461">
        <v>-2.3162933704950901</v>
      </c>
      <c r="J9" s="461">
        <v>-2.6313296600715601</v>
      </c>
      <c r="K9" s="461">
        <v>-2.1482648440451255</v>
      </c>
      <c r="L9" s="461">
        <v>6.7872116624477383E-2</v>
      </c>
      <c r="M9" s="504">
        <v>-1.1387654059676235</v>
      </c>
      <c r="N9" s="504">
        <v>-0.81193836268146646</v>
      </c>
      <c r="O9" s="504">
        <v>-0.2534917787125075</v>
      </c>
      <c r="P9" s="504">
        <v>7.659787558815627E-2</v>
      </c>
      <c r="Q9" s="504">
        <v>0.44973337166363875</v>
      </c>
      <c r="R9" s="504">
        <v>0.76218558384197288</v>
      </c>
      <c r="S9" s="469"/>
    </row>
    <row r="10" spans="2:28" ht="14.1" customHeight="1">
      <c r="B10" s="493" t="s">
        <v>968</v>
      </c>
      <c r="C10" s="491" t="s">
        <v>103</v>
      </c>
      <c r="D10" s="461">
        <v>-0.73703323781106544</v>
      </c>
      <c r="E10" s="461">
        <v>-1.872733394898805</v>
      </c>
      <c r="F10" s="461">
        <v>-2.1990081211372106</v>
      </c>
      <c r="G10" s="461">
        <v>-1.7796856771798537</v>
      </c>
      <c r="H10" s="461">
        <v>-2.0255124803149136</v>
      </c>
      <c r="I10" s="461">
        <v>-3.0665757116867258</v>
      </c>
      <c r="J10" s="461">
        <v>-6.0426585064415095</v>
      </c>
      <c r="K10" s="461">
        <v>-3.396125561637926</v>
      </c>
      <c r="L10" s="461">
        <v>-4.0873314841547943</v>
      </c>
      <c r="M10" s="504">
        <v>-4.2882493210644563</v>
      </c>
      <c r="N10" s="504">
        <v>-3.5551058227960874</v>
      </c>
      <c r="O10" s="504">
        <v>-3.2896934944028877</v>
      </c>
      <c r="P10" s="504">
        <v>-3.0213262319456868</v>
      </c>
      <c r="Q10" s="504">
        <v>-2.7749108658491202</v>
      </c>
      <c r="R10" s="504">
        <v>-2.6304218168664906</v>
      </c>
      <c r="S10" s="469"/>
    </row>
    <row r="11" spans="2:28" ht="15" customHeight="1">
      <c r="B11" s="464" t="s">
        <v>969</v>
      </c>
      <c r="C11" s="464" t="s">
        <v>969</v>
      </c>
      <c r="D11" s="465" t="s">
        <v>145</v>
      </c>
      <c r="E11" s="465" t="s">
        <v>145</v>
      </c>
      <c r="F11" s="465" t="s">
        <v>145</v>
      </c>
      <c r="G11" s="465" t="s">
        <v>145</v>
      </c>
      <c r="H11" s="465" t="s">
        <v>145</v>
      </c>
      <c r="I11" s="465" t="s">
        <v>145</v>
      </c>
      <c r="J11" s="465" t="s">
        <v>145</v>
      </c>
      <c r="K11" s="465" t="s">
        <v>145</v>
      </c>
      <c r="L11" s="465" t="s">
        <v>145</v>
      </c>
      <c r="M11" s="505" t="s">
        <v>145</v>
      </c>
      <c r="N11" s="505" t="s">
        <v>145</v>
      </c>
      <c r="O11" s="505" t="s">
        <v>145</v>
      </c>
      <c r="P11" s="505" t="s">
        <v>145</v>
      </c>
      <c r="Q11" s="505" t="s">
        <v>145</v>
      </c>
      <c r="R11" s="505" t="s">
        <v>145</v>
      </c>
      <c r="S11" s="465"/>
    </row>
    <row r="12" spans="2:28" ht="13.5" customHeight="1">
      <c r="B12" s="464" t="s">
        <v>970</v>
      </c>
      <c r="C12" s="464" t="s">
        <v>970</v>
      </c>
      <c r="D12" s="465">
        <v>-6.3810455414289935</v>
      </c>
      <c r="E12" s="465">
        <v>1.0740345660593436</v>
      </c>
      <c r="F12" s="465">
        <v>9.0814493870751134E-2</v>
      </c>
      <c r="G12" s="465">
        <v>-1.316341522068742</v>
      </c>
      <c r="H12" s="465">
        <v>7.5404503756439656</v>
      </c>
      <c r="I12" s="465">
        <v>6.7817991955017574</v>
      </c>
      <c r="J12" s="465">
        <v>6.4015846287702347</v>
      </c>
      <c r="K12" s="465">
        <v>8.7295860754454324</v>
      </c>
      <c r="L12" s="465">
        <v>5.4338543731351647</v>
      </c>
      <c r="M12" s="505">
        <v>3.8999618541600647</v>
      </c>
      <c r="N12" s="505">
        <v>3.3443582183821103</v>
      </c>
      <c r="O12" s="505">
        <v>3.026002808065551</v>
      </c>
      <c r="P12" s="505">
        <v>2.8045306379019541</v>
      </c>
      <c r="Q12" s="505">
        <v>2.4988573860885954</v>
      </c>
      <c r="R12" s="505">
        <v>2.2631387259143887</v>
      </c>
      <c r="S12" s="465"/>
    </row>
    <row r="13" spans="2:28" ht="13.5" customHeight="1">
      <c r="B13" s="464" t="s">
        <v>971</v>
      </c>
      <c r="C13" s="464" t="s">
        <v>971</v>
      </c>
      <c r="D13" s="465">
        <v>-2.6958384271962297</v>
      </c>
      <c r="E13" s="465">
        <v>-4.6125339638980627</v>
      </c>
      <c r="F13" s="465">
        <v>-4.1240588655590491</v>
      </c>
      <c r="G13" s="465">
        <v>-4.6837243446724655</v>
      </c>
      <c r="H13" s="465">
        <v>-1.8131687615055729</v>
      </c>
      <c r="I13" s="465">
        <v>0.50111268185888103</v>
      </c>
      <c r="J13" s="465">
        <v>-2.7433536032157142</v>
      </c>
      <c r="K13" s="465">
        <v>-1.411271787353561</v>
      </c>
      <c r="L13" s="465">
        <v>-1.8381380476884706</v>
      </c>
      <c r="M13" s="505">
        <v>-1.1378188403688245</v>
      </c>
      <c r="N13" s="505">
        <v>-0.30643060982826298</v>
      </c>
      <c r="O13" s="505">
        <v>0.57889291418294297</v>
      </c>
      <c r="P13" s="505">
        <v>1.3614633168993207</v>
      </c>
      <c r="Q13" s="505">
        <v>1.9656110875264439</v>
      </c>
      <c r="R13" s="505">
        <v>2.0443818725535965</v>
      </c>
      <c r="S13" s="465"/>
      <c r="T13" s="471"/>
      <c r="U13" s="472"/>
      <c r="V13" s="472"/>
      <c r="W13" s="472"/>
      <c r="X13" s="472"/>
      <c r="Y13" s="472"/>
      <c r="Z13" s="472"/>
      <c r="AA13" s="472"/>
      <c r="AB13" s="472"/>
    </row>
    <row r="14" spans="2:28" ht="13.5" customHeight="1">
      <c r="B14" s="464" t="s">
        <v>972</v>
      </c>
      <c r="C14" s="464" t="s">
        <v>972</v>
      </c>
      <c r="D14" s="465">
        <v>0.22977532351847077</v>
      </c>
      <c r="E14" s="465">
        <v>-0.66498927735091129</v>
      </c>
      <c r="F14" s="465">
        <v>1.8623033965607074</v>
      </c>
      <c r="G14" s="465">
        <v>2.3319335784892514</v>
      </c>
      <c r="H14" s="465">
        <v>3.5815770983320108</v>
      </c>
      <c r="I14" s="465">
        <v>2.1306933189464679</v>
      </c>
      <c r="J14" s="465">
        <v>-1.6131470201918363</v>
      </c>
      <c r="K14" s="465">
        <v>-1.6425344437473259</v>
      </c>
      <c r="L14" s="465">
        <v>-3.1245666085276058</v>
      </c>
      <c r="M14" s="505">
        <v>-0.31439804672554106</v>
      </c>
      <c r="N14" s="505">
        <v>0.8818048727642368</v>
      </c>
      <c r="O14" s="505">
        <v>1.8515318246252226</v>
      </c>
      <c r="P14" s="505">
        <v>2.0130526495481726</v>
      </c>
      <c r="Q14" s="505">
        <v>2.1056398753286949</v>
      </c>
      <c r="R14" s="505">
        <v>2.0061839319346495</v>
      </c>
      <c r="S14" s="465"/>
    </row>
    <row r="15" spans="2:28" ht="13.5" customHeight="1">
      <c r="B15" s="464" t="s">
        <v>119</v>
      </c>
      <c r="C15" s="464" t="s">
        <v>119</v>
      </c>
      <c r="D15" s="465">
        <v>-2.1191099762869881</v>
      </c>
      <c r="E15" s="465">
        <v>-1.9495143510664898</v>
      </c>
      <c r="F15" s="465">
        <v>-1.2558325510104995</v>
      </c>
      <c r="G15" s="465">
        <v>-0.68770826625632986</v>
      </c>
      <c r="H15" s="465">
        <v>-0.88800757927806562</v>
      </c>
      <c r="I15" s="465">
        <v>-0.31661948568179821</v>
      </c>
      <c r="J15" s="465">
        <v>-7.863000537049941</v>
      </c>
      <c r="K15" s="465">
        <v>0.78847021644333437</v>
      </c>
      <c r="L15" s="465">
        <v>0.94254183597342633</v>
      </c>
      <c r="M15" s="505">
        <v>-2.1437796440933043</v>
      </c>
      <c r="N15" s="505">
        <v>-1.0961512891389922</v>
      </c>
      <c r="O15" s="505">
        <v>-0.50342924278147949</v>
      </c>
      <c r="P15" s="505">
        <v>0.20714465834275522</v>
      </c>
      <c r="Q15" s="505">
        <v>0.77285464895123812</v>
      </c>
      <c r="R15" s="505">
        <v>1.4320665145603915</v>
      </c>
      <c r="S15" s="465"/>
    </row>
    <row r="16" spans="2:28" ht="13.5" customHeight="1">
      <c r="B16" s="464" t="s">
        <v>427</v>
      </c>
      <c r="C16" s="464" t="s">
        <v>427</v>
      </c>
      <c r="D16" s="465">
        <v>-2.8351273861901309</v>
      </c>
      <c r="E16" s="465">
        <v>-2.2850172667234951</v>
      </c>
      <c r="F16" s="465">
        <v>1.7129167122702678</v>
      </c>
      <c r="G16" s="465">
        <v>1.0104127945178125</v>
      </c>
      <c r="H16" s="465">
        <v>0.30265271951514106</v>
      </c>
      <c r="I16" s="465">
        <v>-1.1886361047625356</v>
      </c>
      <c r="J16" s="465">
        <v>-2.2065177952822883</v>
      </c>
      <c r="K16" s="465">
        <v>-3.1343386381622187</v>
      </c>
      <c r="L16" s="465">
        <v>-1.2332785753998803</v>
      </c>
      <c r="M16" s="505">
        <v>-3.069442687862038</v>
      </c>
      <c r="N16" s="505">
        <v>-2.4913687332888652</v>
      </c>
      <c r="O16" s="505">
        <v>-1.9779103995008036</v>
      </c>
      <c r="P16" s="505">
        <v>-1.3593436552451239</v>
      </c>
      <c r="Q16" s="505">
        <v>-1.3215776343861312</v>
      </c>
      <c r="R16" s="505">
        <v>-1.2896789548147529</v>
      </c>
      <c r="S16" s="465"/>
    </row>
    <row r="17" spans="2:34" ht="14.25" customHeight="1">
      <c r="B17" s="464" t="s">
        <v>1011</v>
      </c>
      <c r="C17" s="464" t="s">
        <v>973</v>
      </c>
      <c r="D17" s="465">
        <v>-0.36292567953435928</v>
      </c>
      <c r="E17" s="465">
        <v>0.69858519858897317</v>
      </c>
      <c r="F17" s="465">
        <v>-0.6902972694885694</v>
      </c>
      <c r="G17" s="465">
        <v>-1.6622605859758413</v>
      </c>
      <c r="H17" s="465">
        <v>-1.157757806015373</v>
      </c>
      <c r="I17" s="465">
        <v>-1.3573645084098229</v>
      </c>
      <c r="J17" s="465">
        <v>-1.0868327392756914</v>
      </c>
      <c r="K17" s="465">
        <v>-11.497726644128889</v>
      </c>
      <c r="L17" s="465">
        <v>-1.5490097185730334</v>
      </c>
      <c r="M17" s="505">
        <v>-1.2997376302917156</v>
      </c>
      <c r="N17" s="505">
        <v>-0.60703539715121979</v>
      </c>
      <c r="O17" s="505">
        <v>2.97244785251126E-3</v>
      </c>
      <c r="P17" s="505">
        <v>0.32281000532501336</v>
      </c>
      <c r="Q17" s="505">
        <v>0.54678204508050343</v>
      </c>
      <c r="R17" s="505">
        <v>0.40756918595699537</v>
      </c>
      <c r="S17" s="465"/>
    </row>
    <row r="18" spans="2:34" ht="13.5" customHeight="1">
      <c r="B18" s="464" t="s">
        <v>111</v>
      </c>
      <c r="C18" s="464" t="s">
        <v>111</v>
      </c>
      <c r="D18" s="465">
        <v>-0.15443419230270852</v>
      </c>
      <c r="E18" s="465">
        <v>-1.7365415798747743</v>
      </c>
      <c r="F18" s="465">
        <v>-2.4585201603695768</v>
      </c>
      <c r="G18" s="465">
        <v>-2.4554821224501122</v>
      </c>
      <c r="H18" s="465">
        <v>-3.3127931823547381</v>
      </c>
      <c r="I18" s="465">
        <v>-4.9167049051449103</v>
      </c>
      <c r="J18" s="465">
        <v>-7.5213202790420572</v>
      </c>
      <c r="K18" s="465">
        <v>-4.6689435763322304</v>
      </c>
      <c r="L18" s="465">
        <v>-5.7119290924154607</v>
      </c>
      <c r="M18" s="505">
        <v>-5.3022956899814826</v>
      </c>
      <c r="N18" s="505">
        <v>-4.9199175072228272</v>
      </c>
      <c r="O18" s="505">
        <v>-4.7684947834712528</v>
      </c>
      <c r="P18" s="505">
        <v>-4.5599581028375749</v>
      </c>
      <c r="Q18" s="505">
        <v>-4.2577448638723849</v>
      </c>
      <c r="R18" s="505">
        <v>-4.1333012061918284</v>
      </c>
      <c r="S18" s="465"/>
    </row>
    <row r="19" spans="2:34" ht="13.5" customHeight="1">
      <c r="B19" s="464" t="s">
        <v>480</v>
      </c>
      <c r="C19" s="464" t="s">
        <v>480</v>
      </c>
      <c r="D19" s="465">
        <v>-0.75653569584196945</v>
      </c>
      <c r="E19" s="465">
        <v>-2.0821668952523424</v>
      </c>
      <c r="F19" s="465">
        <v>-0.62056320706480916</v>
      </c>
      <c r="G19" s="465">
        <v>-0.32669366723985582</v>
      </c>
      <c r="H19" s="465">
        <v>-1.9688760492249029</v>
      </c>
      <c r="I19" s="465">
        <v>0.1345259118353524</v>
      </c>
      <c r="J19" s="465">
        <v>-2.3696424906122626</v>
      </c>
      <c r="K19" s="465">
        <v>-4.3719616664601739</v>
      </c>
      <c r="L19" s="465">
        <v>-3.4619844316509529</v>
      </c>
      <c r="M19" s="505">
        <v>0.43225803210628699</v>
      </c>
      <c r="N19" s="505">
        <v>2.5179866948719578</v>
      </c>
      <c r="O19" s="505">
        <v>1.3955967272901704</v>
      </c>
      <c r="P19" s="505">
        <v>0.96048531312894581</v>
      </c>
      <c r="Q19" s="505">
        <v>0.81910376216739744</v>
      </c>
      <c r="R19" s="505">
        <v>0.82499033183156512</v>
      </c>
      <c r="S19" s="465"/>
    </row>
    <row r="20" spans="2:34" ht="13.5" customHeight="1">
      <c r="B20" s="464" t="s">
        <v>975</v>
      </c>
      <c r="C20" s="464" t="s">
        <v>975</v>
      </c>
      <c r="D20" s="465">
        <v>-2.0464014789081211</v>
      </c>
      <c r="E20" s="465">
        <v>-1.9376481496890503</v>
      </c>
      <c r="F20" s="465">
        <v>-1.292310224991335</v>
      </c>
      <c r="G20" s="465">
        <v>-1.1523513863061796</v>
      </c>
      <c r="H20" s="465">
        <v>-0.74005408361835723</v>
      </c>
      <c r="I20" s="465">
        <v>-0.48084869500731553</v>
      </c>
      <c r="J20" s="465">
        <v>-4.5656386029200648</v>
      </c>
      <c r="K20" s="465">
        <v>-0.33452739737589471</v>
      </c>
      <c r="L20" s="465">
        <v>-0.78506959732201687</v>
      </c>
      <c r="M20" s="505">
        <v>-0.83637588150887365</v>
      </c>
      <c r="N20" s="505">
        <v>-0.64406660203254451</v>
      </c>
      <c r="O20" s="505">
        <v>-0.22041724606320384</v>
      </c>
      <c r="P20" s="505">
        <v>-8.8653279786708269E-2</v>
      </c>
      <c r="Q20" s="505">
        <v>7.0715482666924165E-2</v>
      </c>
      <c r="R20" s="505">
        <v>0.18255394864466859</v>
      </c>
      <c r="S20" s="465"/>
    </row>
    <row r="21" spans="2:34" ht="16.5" customHeight="1">
      <c r="B21" s="464" t="s">
        <v>976</v>
      </c>
      <c r="C21" s="464" t="s">
        <v>977</v>
      </c>
      <c r="D21" s="465">
        <v>-8.197255356963856</v>
      </c>
      <c r="E21" s="465">
        <v>-7.4283914094027308</v>
      </c>
      <c r="F21" s="465">
        <v>-8.9872551339836324</v>
      </c>
      <c r="G21" s="465">
        <v>-3.2240124503432126</v>
      </c>
      <c r="H21" s="465">
        <v>-0.85157404370849632</v>
      </c>
      <c r="I21" s="465">
        <v>-0.74583162754780341</v>
      </c>
      <c r="J21" s="465">
        <v>-2.3708128034857996</v>
      </c>
      <c r="K21" s="465">
        <v>5.9933696384382777E-2</v>
      </c>
      <c r="L21" s="465">
        <v>0.95699706154490738</v>
      </c>
      <c r="M21" s="505" t="s">
        <v>145</v>
      </c>
      <c r="N21" s="505" t="s">
        <v>145</v>
      </c>
      <c r="O21" s="505" t="s">
        <v>145</v>
      </c>
      <c r="P21" s="505" t="s">
        <v>145</v>
      </c>
      <c r="Q21" s="505" t="s">
        <v>145</v>
      </c>
      <c r="R21" s="505" t="s">
        <v>145</v>
      </c>
      <c r="S21" s="465"/>
    </row>
    <row r="22" spans="2:34" ht="14.25" customHeight="1">
      <c r="B22" s="464" t="s">
        <v>978</v>
      </c>
      <c r="C22" s="464" t="s">
        <v>978</v>
      </c>
      <c r="D22" s="465">
        <v>-4.3093383342924403</v>
      </c>
      <c r="E22" s="465">
        <v>-4.376128775225423</v>
      </c>
      <c r="F22" s="465">
        <v>-3.6845667475374348</v>
      </c>
      <c r="G22" s="465">
        <v>-2.6023729140501146</v>
      </c>
      <c r="H22" s="465">
        <v>-0.47550240358806917</v>
      </c>
      <c r="I22" s="465">
        <v>1.5366084176838364</v>
      </c>
      <c r="J22" s="465">
        <v>2.0268536078739978</v>
      </c>
      <c r="K22" s="465">
        <v>0.91107120954734522</v>
      </c>
      <c r="L22" s="465">
        <v>0.19954881751855258</v>
      </c>
      <c r="M22" s="505">
        <v>1.5096955276653392</v>
      </c>
      <c r="N22" s="505">
        <v>2.156132470406857</v>
      </c>
      <c r="O22" s="505">
        <v>2.2703754749552574</v>
      </c>
      <c r="P22" s="505">
        <v>2.3256578476908074</v>
      </c>
      <c r="Q22" s="505">
        <v>2.4920988964302113</v>
      </c>
      <c r="R22" s="505">
        <v>2.5743957771338732</v>
      </c>
      <c r="S22" s="465"/>
    </row>
    <row r="23" spans="2:34" ht="13.5" customHeight="1">
      <c r="B23" s="464" t="s">
        <v>450</v>
      </c>
      <c r="C23" s="464" t="s">
        <v>450</v>
      </c>
      <c r="D23" s="465">
        <v>1.9261229635828117</v>
      </c>
      <c r="E23" s="465">
        <v>1.8290631364047107</v>
      </c>
      <c r="F23" s="465">
        <v>1.72210264857545</v>
      </c>
      <c r="G23" s="465">
        <v>1.9604174792828715E-3</v>
      </c>
      <c r="H23" s="465">
        <v>-0.69412172952273987</v>
      </c>
      <c r="I23" s="465">
        <v>-1.1268711337082649</v>
      </c>
      <c r="J23" s="465">
        <v>-4.7390501976494743</v>
      </c>
      <c r="K23" s="465">
        <v>-5.041140014694415</v>
      </c>
      <c r="L23" s="465">
        <v>-3.7645098535705337</v>
      </c>
      <c r="M23" s="505">
        <v>-0.4777557030197826</v>
      </c>
      <c r="N23" s="505">
        <v>0.78174647346785064</v>
      </c>
      <c r="O23" s="505">
        <v>0.39162423675542879</v>
      </c>
      <c r="P23" s="505">
        <v>0.8145616481799387</v>
      </c>
      <c r="Q23" s="505">
        <v>0.67122715412788014</v>
      </c>
      <c r="R23" s="505">
        <v>0.9898619829747568</v>
      </c>
      <c r="S23" s="465"/>
      <c r="U23" s="499"/>
      <c r="V23" s="499"/>
      <c r="W23" s="499"/>
      <c r="X23" s="499"/>
      <c r="Y23" s="499"/>
      <c r="Z23" s="499"/>
      <c r="AA23" s="499"/>
      <c r="AB23" s="499"/>
      <c r="AC23" s="499"/>
      <c r="AD23" s="499"/>
      <c r="AE23" s="499"/>
      <c r="AF23" s="499"/>
      <c r="AG23" s="499"/>
      <c r="AH23" s="499"/>
    </row>
    <row r="24" spans="2:34" ht="13.5" customHeight="1">
      <c r="B24" s="464" t="s">
        <v>112</v>
      </c>
      <c r="C24" s="464" t="s">
        <v>112</v>
      </c>
      <c r="D24" s="465">
        <v>-2.2183929208455009</v>
      </c>
      <c r="E24" s="465">
        <v>-2.5175930588983797</v>
      </c>
      <c r="F24" s="465">
        <v>-2.7570316212223571</v>
      </c>
      <c r="G24" s="465">
        <v>-1.4216155384504296</v>
      </c>
      <c r="H24" s="465">
        <v>-2.0355270667732368</v>
      </c>
      <c r="I24" s="465">
        <v>-2.938411563150904</v>
      </c>
      <c r="J24" s="465">
        <v>-3.8933474244108535</v>
      </c>
      <c r="K24" s="465">
        <v>-3.7114983649026394</v>
      </c>
      <c r="L24" s="465">
        <v>-4.3929044088615106</v>
      </c>
      <c r="M24" s="505">
        <v>-3.5578958202092279</v>
      </c>
      <c r="N24" s="505">
        <v>-2.8541346968650574</v>
      </c>
      <c r="O24" s="505">
        <v>-2.4827458616394678</v>
      </c>
      <c r="P24" s="505">
        <v>-2.2560949047948</v>
      </c>
      <c r="Q24" s="505">
        <v>-2.1395910170697672</v>
      </c>
      <c r="R24" s="505">
        <v>-2.0285173845399402</v>
      </c>
      <c r="S24" s="465"/>
    </row>
    <row r="25" spans="2:34" ht="13.5" customHeight="1">
      <c r="B25" s="464" t="s">
        <v>281</v>
      </c>
      <c r="C25" s="464" t="s">
        <v>281</v>
      </c>
      <c r="D25" s="465">
        <v>-1.0678063457662836</v>
      </c>
      <c r="E25" s="465">
        <v>-1.306955375582024</v>
      </c>
      <c r="F25" s="465">
        <v>-0.99180793777458587</v>
      </c>
      <c r="G25" s="465">
        <v>-0.83612381202890773</v>
      </c>
      <c r="H25" s="465">
        <v>-1.8612756296642677E-2</v>
      </c>
      <c r="I25" s="465">
        <v>-0.3913535869175479</v>
      </c>
      <c r="J25" s="465">
        <v>-3.3149094690061465</v>
      </c>
      <c r="K25" s="465">
        <v>-1.9541839673106922</v>
      </c>
      <c r="L25" s="465">
        <v>-0.17605495602714122</v>
      </c>
      <c r="M25" s="505">
        <v>-0.49646930588807547</v>
      </c>
      <c r="N25" s="505">
        <v>-0.26762670706980762</v>
      </c>
      <c r="O25" s="505">
        <v>-0.11834169284486988</v>
      </c>
      <c r="P25" s="505">
        <v>-5.2020364695816619E-2</v>
      </c>
      <c r="Q25" s="505">
        <v>3.3606947138050162E-4</v>
      </c>
      <c r="R25" s="505">
        <v>2.096405541248365E-2</v>
      </c>
      <c r="S25" s="465"/>
    </row>
    <row r="26" spans="2:34" ht="13.5" customHeight="1">
      <c r="B26" s="464" t="s">
        <v>979</v>
      </c>
      <c r="C26" s="464" t="s">
        <v>979</v>
      </c>
      <c r="D26" s="465" t="s">
        <v>139</v>
      </c>
      <c r="E26" s="465" t="s">
        <v>139</v>
      </c>
      <c r="F26" s="465" t="s">
        <v>139</v>
      </c>
      <c r="G26" s="465" t="s">
        <v>139</v>
      </c>
      <c r="H26" s="465" t="s">
        <v>139</v>
      </c>
      <c r="I26" s="465" t="s">
        <v>139</v>
      </c>
      <c r="J26" s="465" t="s">
        <v>139</v>
      </c>
      <c r="K26" s="465" t="s">
        <v>139</v>
      </c>
      <c r="L26" s="465" t="s">
        <v>139</v>
      </c>
      <c r="M26" s="505" t="s">
        <v>139</v>
      </c>
      <c r="N26" s="505" t="s">
        <v>139</v>
      </c>
      <c r="O26" s="505" t="s">
        <v>139</v>
      </c>
      <c r="P26" s="505" t="s">
        <v>139</v>
      </c>
      <c r="Q26" s="505" t="s">
        <v>139</v>
      </c>
      <c r="R26" s="505" t="s">
        <v>139</v>
      </c>
      <c r="S26" s="465"/>
    </row>
    <row r="27" spans="2:34" ht="13.5" customHeight="1">
      <c r="B27" s="464" t="s">
        <v>980</v>
      </c>
      <c r="C27" s="464" t="s">
        <v>980</v>
      </c>
      <c r="D27" s="465" t="s">
        <v>139</v>
      </c>
      <c r="E27" s="465" t="s">
        <v>139</v>
      </c>
      <c r="F27" s="465" t="s">
        <v>139</v>
      </c>
      <c r="G27" s="465" t="s">
        <v>139</v>
      </c>
      <c r="H27" s="465" t="s">
        <v>139</v>
      </c>
      <c r="I27" s="465" t="s">
        <v>139</v>
      </c>
      <c r="J27" s="465" t="s">
        <v>139</v>
      </c>
      <c r="K27" s="465" t="s">
        <v>139</v>
      </c>
      <c r="L27" s="465" t="s">
        <v>139</v>
      </c>
      <c r="M27" s="505" t="s">
        <v>139</v>
      </c>
      <c r="N27" s="505" t="s">
        <v>139</v>
      </c>
      <c r="O27" s="505" t="s">
        <v>139</v>
      </c>
      <c r="P27" s="505" t="s">
        <v>139</v>
      </c>
      <c r="Q27" s="505" t="s">
        <v>139</v>
      </c>
      <c r="R27" s="505" t="s">
        <v>139</v>
      </c>
      <c r="S27" s="465"/>
    </row>
    <row r="28" spans="2:34" ht="13.5" customHeight="1">
      <c r="B28" s="464" t="s">
        <v>981</v>
      </c>
      <c r="C28" s="464" t="s">
        <v>981</v>
      </c>
      <c r="D28" s="465" t="s">
        <v>139</v>
      </c>
      <c r="E28" s="465" t="s">
        <v>139</v>
      </c>
      <c r="F28" s="465" t="s">
        <v>139</v>
      </c>
      <c r="G28" s="465" t="s">
        <v>139</v>
      </c>
      <c r="H28" s="465" t="s">
        <v>139</v>
      </c>
      <c r="I28" s="465" t="s">
        <v>139</v>
      </c>
      <c r="J28" s="465" t="s">
        <v>139</v>
      </c>
      <c r="K28" s="465" t="s">
        <v>139</v>
      </c>
      <c r="L28" s="465" t="s">
        <v>139</v>
      </c>
      <c r="M28" s="505" t="s">
        <v>139</v>
      </c>
      <c r="N28" s="505" t="s">
        <v>139</v>
      </c>
      <c r="O28" s="505" t="s">
        <v>139</v>
      </c>
      <c r="P28" s="505" t="s">
        <v>139</v>
      </c>
      <c r="Q28" s="505" t="s">
        <v>139</v>
      </c>
      <c r="R28" s="505" t="s">
        <v>139</v>
      </c>
      <c r="S28" s="465"/>
    </row>
    <row r="29" spans="2:34" ht="13.5" customHeight="1">
      <c r="B29" s="464" t="s">
        <v>982</v>
      </c>
      <c r="C29" s="464" t="s">
        <v>982</v>
      </c>
      <c r="D29" s="465">
        <v>-4.8645782542589791</v>
      </c>
      <c r="E29" s="465">
        <v>-2.7569966468818734</v>
      </c>
      <c r="F29" s="465">
        <v>-2.1106108127821592</v>
      </c>
      <c r="G29" s="465">
        <v>-3.9620244333381121</v>
      </c>
      <c r="H29" s="465">
        <v>-2.1067362873763154</v>
      </c>
      <c r="I29" s="465">
        <v>-7.4406889865145294</v>
      </c>
      <c r="J29" s="465">
        <v>-9.3759247811331985</v>
      </c>
      <c r="K29" s="465" t="s">
        <v>145</v>
      </c>
      <c r="L29" s="465" t="s">
        <v>145</v>
      </c>
      <c r="M29" s="505" t="s">
        <v>145</v>
      </c>
      <c r="N29" s="505" t="s">
        <v>145</v>
      </c>
      <c r="O29" s="505" t="s">
        <v>145</v>
      </c>
      <c r="P29" s="505" t="s">
        <v>145</v>
      </c>
      <c r="Q29" s="505" t="s">
        <v>145</v>
      </c>
      <c r="R29" s="505" t="s">
        <v>145</v>
      </c>
      <c r="S29" s="465"/>
    </row>
    <row r="30" spans="2:34" ht="13.5" customHeight="1">
      <c r="B30" s="464" t="s">
        <v>984</v>
      </c>
      <c r="C30" s="464" t="s">
        <v>984</v>
      </c>
      <c r="D30" s="465">
        <v>-0.84372724146160782</v>
      </c>
      <c r="E30" s="465">
        <v>-1.0297995659606523</v>
      </c>
      <c r="F30" s="465">
        <v>-0.862659769462777</v>
      </c>
      <c r="G30" s="465">
        <v>-0.78123386695944208</v>
      </c>
      <c r="H30" s="465">
        <v>-1.671080511706323</v>
      </c>
      <c r="I30" s="465">
        <v>0.41084599472317057</v>
      </c>
      <c r="J30" s="465">
        <v>-2.23691737369951</v>
      </c>
      <c r="K30" s="465">
        <v>-2.8828116953992864</v>
      </c>
      <c r="L30" s="465">
        <v>-3.3936445377306295</v>
      </c>
      <c r="M30" s="505">
        <v>-2.70457151626879</v>
      </c>
      <c r="N30" s="505">
        <v>-2.264737609491779</v>
      </c>
      <c r="O30" s="505">
        <v>-2.068327896248368</v>
      </c>
      <c r="P30" s="505">
        <v>-1.8538184309802894</v>
      </c>
      <c r="Q30" s="505">
        <v>-1.7391534433734177</v>
      </c>
      <c r="R30" s="505">
        <v>-1.6182813950894419</v>
      </c>
      <c r="S30" s="465"/>
    </row>
    <row r="31" spans="2:34" ht="13.5" customHeight="1">
      <c r="B31" s="464" t="s">
        <v>120</v>
      </c>
      <c r="C31" s="464" t="s">
        <v>120</v>
      </c>
      <c r="D31" s="465">
        <v>-1.6919846611590836</v>
      </c>
      <c r="E31" s="465">
        <v>-1.4323918690734507</v>
      </c>
      <c r="F31" s="465">
        <v>-0.92373651590118444</v>
      </c>
      <c r="G31" s="465">
        <v>1.074631605569031</v>
      </c>
      <c r="H31" s="465">
        <v>1.4475176156589193</v>
      </c>
      <c r="I31" s="465">
        <v>1.5806172389247122</v>
      </c>
      <c r="J31" s="465">
        <v>0.44049287635592799</v>
      </c>
      <c r="K31" s="465">
        <v>0.39396859041956561</v>
      </c>
      <c r="L31" s="465">
        <v>2.5500701500014957E-2</v>
      </c>
      <c r="M31" s="505">
        <v>0.29396516423152497</v>
      </c>
      <c r="N31" s="505">
        <v>1.8206098555943122</v>
      </c>
      <c r="O31" s="505">
        <v>1.8889624984494406</v>
      </c>
      <c r="P31" s="505">
        <v>1.8251416296593079</v>
      </c>
      <c r="Q31" s="505">
        <v>1.6883684870141504</v>
      </c>
      <c r="R31" s="505">
        <v>1.574195605431606</v>
      </c>
      <c r="S31" s="465"/>
    </row>
    <row r="32" spans="2:34" ht="13.5" customHeight="1">
      <c r="B32" s="464" t="s">
        <v>985</v>
      </c>
      <c r="C32" s="464" t="s">
        <v>985</v>
      </c>
      <c r="D32" s="465">
        <v>-3.5468952078185718</v>
      </c>
      <c r="E32" s="465">
        <v>-2.2710354551490046</v>
      </c>
      <c r="F32" s="465">
        <v>-2.4612375935853628</v>
      </c>
      <c r="G32" s="465">
        <v>-1.9414594129672071</v>
      </c>
      <c r="H32" s="465">
        <v>-1.5969969608371646</v>
      </c>
      <c r="I32" s="465">
        <v>-1.7069872623984863</v>
      </c>
      <c r="J32" s="465">
        <v>-3.0488014257287586</v>
      </c>
      <c r="K32" s="465">
        <v>-3.8346645317907426</v>
      </c>
      <c r="L32" s="465">
        <v>-3.1</v>
      </c>
      <c r="M32" s="505">
        <v>-2.5856121389906761</v>
      </c>
      <c r="N32" s="505">
        <v>-2.0582970115735471</v>
      </c>
      <c r="O32" s="505">
        <v>-1.488438610577814</v>
      </c>
      <c r="P32" s="505">
        <v>-1.0119596281833034</v>
      </c>
      <c r="Q32" s="505">
        <v>-0.80641264157531922</v>
      </c>
      <c r="R32" s="505">
        <v>-0.9081049619028092</v>
      </c>
      <c r="S32" s="465"/>
    </row>
    <row r="33" spans="2:29" ht="13.5" customHeight="1">
      <c r="B33" s="464" t="s">
        <v>986</v>
      </c>
      <c r="C33" s="464" t="s">
        <v>986</v>
      </c>
      <c r="D33" s="465" t="s">
        <v>139</v>
      </c>
      <c r="E33" s="465" t="s">
        <v>139</v>
      </c>
      <c r="F33" s="465" t="s">
        <v>139</v>
      </c>
      <c r="G33" s="465" t="s">
        <v>139</v>
      </c>
      <c r="H33" s="465" t="s">
        <v>139</v>
      </c>
      <c r="I33" s="465" t="s">
        <v>139</v>
      </c>
      <c r="J33" s="465" t="s">
        <v>139</v>
      </c>
      <c r="K33" s="465" t="s">
        <v>139</v>
      </c>
      <c r="L33" s="465" t="s">
        <v>139</v>
      </c>
      <c r="M33" s="505" t="s">
        <v>139</v>
      </c>
      <c r="N33" s="505" t="s">
        <v>139</v>
      </c>
      <c r="O33" s="505" t="s">
        <v>139</v>
      </c>
      <c r="P33" s="505" t="s">
        <v>139</v>
      </c>
      <c r="Q33" s="505" t="s">
        <v>139</v>
      </c>
      <c r="R33" s="505" t="s">
        <v>139</v>
      </c>
      <c r="S33" s="465"/>
    </row>
    <row r="34" spans="2:29" ht="14.25" customHeight="1">
      <c r="B34" s="464" t="s">
        <v>987</v>
      </c>
      <c r="C34" s="464" t="s">
        <v>987</v>
      </c>
      <c r="D34" s="465" t="s">
        <v>139</v>
      </c>
      <c r="E34" s="465" t="s">
        <v>139</v>
      </c>
      <c r="F34" s="465" t="s">
        <v>139</v>
      </c>
      <c r="G34" s="465" t="s">
        <v>139</v>
      </c>
      <c r="H34" s="465" t="s">
        <v>139</v>
      </c>
      <c r="I34" s="465" t="s">
        <v>139</v>
      </c>
      <c r="J34" s="465" t="s">
        <v>139</v>
      </c>
      <c r="K34" s="465" t="s">
        <v>139</v>
      </c>
      <c r="L34" s="465" t="s">
        <v>139</v>
      </c>
      <c r="M34" s="505" t="s">
        <v>139</v>
      </c>
      <c r="N34" s="505" t="s">
        <v>139</v>
      </c>
      <c r="O34" s="505" t="s">
        <v>139</v>
      </c>
      <c r="P34" s="505" t="s">
        <v>139</v>
      </c>
      <c r="Q34" s="505" t="s">
        <v>139</v>
      </c>
      <c r="R34" s="505" t="s">
        <v>139</v>
      </c>
      <c r="S34" s="465"/>
    </row>
    <row r="35" spans="2:29" ht="13.5" customHeight="1">
      <c r="B35" s="464" t="s">
        <v>988</v>
      </c>
      <c r="C35" s="464" t="s">
        <v>988</v>
      </c>
      <c r="D35" s="465">
        <v>0.79717758230081426</v>
      </c>
      <c r="E35" s="465">
        <v>-0.64291243995449721</v>
      </c>
      <c r="F35" s="465">
        <v>-0.89323658301651143</v>
      </c>
      <c r="G35" s="465">
        <v>-1.0725783076694944</v>
      </c>
      <c r="H35" s="465">
        <v>-0.49075378669635661</v>
      </c>
      <c r="I35" s="465">
        <v>0.52752320957584331</v>
      </c>
      <c r="J35" s="465">
        <v>-4.0331728941159772</v>
      </c>
      <c r="K35" s="465">
        <v>-2.4019997018579446</v>
      </c>
      <c r="L35" s="465">
        <v>-0.46368104403647603</v>
      </c>
      <c r="M35" s="505">
        <v>-0.77107553785600536</v>
      </c>
      <c r="N35" s="505">
        <v>-0.97297052460984246</v>
      </c>
      <c r="O35" s="505">
        <v>-0.5672252611367381</v>
      </c>
      <c r="P35" s="505">
        <v>-0.20620397056811293</v>
      </c>
      <c r="Q35" s="505">
        <v>-0.2841285161061744</v>
      </c>
      <c r="R35" s="505">
        <v>-0.246942833373238</v>
      </c>
      <c r="S35" s="465"/>
    </row>
    <row r="36" spans="2:29" ht="13.5" customHeight="1">
      <c r="B36" s="464" t="s">
        <v>989</v>
      </c>
      <c r="C36" s="464" t="s">
        <v>989</v>
      </c>
      <c r="D36" s="465">
        <v>2.7811173763419741</v>
      </c>
      <c r="E36" s="465">
        <v>2.4926294879193529</v>
      </c>
      <c r="F36" s="465">
        <v>0.92187672300316903</v>
      </c>
      <c r="G36" s="465">
        <v>0.80447547943445596</v>
      </c>
      <c r="H36" s="465">
        <v>0.12748188472844882</v>
      </c>
      <c r="I36" s="465">
        <v>0.11825040334733591</v>
      </c>
      <c r="J36" s="465">
        <v>-1.6706307676402701</v>
      </c>
      <c r="K36" s="465">
        <v>-3.6682464383001578</v>
      </c>
      <c r="L36" s="465">
        <v>-3.4716565417685779</v>
      </c>
      <c r="M36" s="505">
        <v>-2.3169855769014034</v>
      </c>
      <c r="N36" s="505">
        <v>-1.7630463864684334</v>
      </c>
      <c r="O36" s="505">
        <v>-1.1981017004796943</v>
      </c>
      <c r="P36" s="505">
        <v>-0.9879288958143011</v>
      </c>
      <c r="Q36" s="505">
        <v>-0.69095275146532042</v>
      </c>
      <c r="R36" s="505">
        <v>-0.49450987083066378</v>
      </c>
      <c r="S36" s="465"/>
    </row>
    <row r="37" spans="2:29" ht="13.5" customHeight="1">
      <c r="B37" s="464" t="s">
        <v>426</v>
      </c>
      <c r="C37" s="464" t="s">
        <v>426</v>
      </c>
      <c r="D37" s="465">
        <v>-0.92032047307904707</v>
      </c>
      <c r="E37" s="465">
        <v>-0.48390284681950674</v>
      </c>
      <c r="F37" s="465">
        <v>-4.2658505979915801E-2</v>
      </c>
      <c r="G37" s="465">
        <v>-8.0160002651812182E-2</v>
      </c>
      <c r="H37" s="465">
        <v>-3.4784382281603028E-2</v>
      </c>
      <c r="I37" s="465">
        <v>-0.91932123310950287</v>
      </c>
      <c r="J37" s="465">
        <v>-4.0730394369414897</v>
      </c>
      <c r="K37" s="465">
        <v>-1.0079109932490047</v>
      </c>
      <c r="L37" s="465">
        <v>-2.7331087536166621</v>
      </c>
      <c r="M37" s="505">
        <v>-2.2337716436681481</v>
      </c>
      <c r="N37" s="505">
        <v>-1.3645921238446461</v>
      </c>
      <c r="O37" s="505">
        <v>-1.6426294011395066</v>
      </c>
      <c r="P37" s="505">
        <v>-1.9501370059305099</v>
      </c>
      <c r="Q37" s="505">
        <v>-1.6585657749470912</v>
      </c>
      <c r="R37" s="505">
        <v>-1.3298480168259186</v>
      </c>
      <c r="S37" s="465"/>
    </row>
    <row r="38" spans="2:29" ht="13.5" customHeight="1">
      <c r="B38" s="464" t="s">
        <v>990</v>
      </c>
      <c r="C38" s="464" t="s">
        <v>990</v>
      </c>
      <c r="D38" s="465" t="s">
        <v>139</v>
      </c>
      <c r="E38" s="465" t="s">
        <v>139</v>
      </c>
      <c r="F38" s="465" t="s">
        <v>139</v>
      </c>
      <c r="G38" s="465" t="s">
        <v>139</v>
      </c>
      <c r="H38" s="465" t="s">
        <v>139</v>
      </c>
      <c r="I38" s="465" t="s">
        <v>139</v>
      </c>
      <c r="J38" s="465" t="s">
        <v>139</v>
      </c>
      <c r="K38" s="465" t="s">
        <v>139</v>
      </c>
      <c r="L38" s="465" t="s">
        <v>139</v>
      </c>
      <c r="M38" s="505" t="s">
        <v>139</v>
      </c>
      <c r="N38" s="505" t="s">
        <v>139</v>
      </c>
      <c r="O38" s="505" t="s">
        <v>139</v>
      </c>
      <c r="P38" s="505" t="s">
        <v>139</v>
      </c>
      <c r="Q38" s="505" t="s">
        <v>139</v>
      </c>
      <c r="R38" s="505" t="s">
        <v>139</v>
      </c>
      <c r="S38" s="465"/>
    </row>
    <row r="39" spans="2:29" ht="13.5" customHeight="1">
      <c r="B39" s="464" t="s">
        <v>445</v>
      </c>
      <c r="C39" s="464" t="s">
        <v>445</v>
      </c>
      <c r="D39" s="465">
        <v>0.40835556877749835</v>
      </c>
      <c r="E39" s="465">
        <v>0.7816618046164755</v>
      </c>
      <c r="F39" s="465">
        <v>-0.20769294600583699</v>
      </c>
      <c r="G39" s="465">
        <v>-1.9894266519089627</v>
      </c>
      <c r="H39" s="465">
        <v>-2.4060091325168749</v>
      </c>
      <c r="I39" s="465">
        <v>-4.4908911154167903</v>
      </c>
      <c r="J39" s="465">
        <v>-6.8832323903588772</v>
      </c>
      <c r="K39" s="465">
        <v>-5.285778770983109</v>
      </c>
      <c r="L39" s="465">
        <v>-4.1449001094740119</v>
      </c>
      <c r="M39" s="505">
        <v>-3.6774025572161215</v>
      </c>
      <c r="N39" s="505">
        <v>-3.2333277935787974</v>
      </c>
      <c r="O39" s="505">
        <v>-3.1335303514659114</v>
      </c>
      <c r="P39" s="505">
        <v>-2.8096806163255095</v>
      </c>
      <c r="Q39" s="505">
        <v>-2.8257940107449175</v>
      </c>
      <c r="R39" s="505">
        <v>-2.7757358556656948</v>
      </c>
      <c r="S39" s="465"/>
    </row>
    <row r="40" spans="2:29" ht="13.5" customHeight="1">
      <c r="B40" s="464" t="s">
        <v>116</v>
      </c>
      <c r="C40" s="464" t="s">
        <v>116</v>
      </c>
      <c r="D40" s="465">
        <v>0.26518821063005998</v>
      </c>
      <c r="E40" s="465">
        <v>-2.8293249531554654</v>
      </c>
      <c r="F40" s="465">
        <v>-2.7814876732353189</v>
      </c>
      <c r="G40" s="465">
        <v>-0.49692277384541089</v>
      </c>
      <c r="H40" s="465">
        <v>3.4448011540993071</v>
      </c>
      <c r="I40" s="465">
        <v>2.2569255042682088</v>
      </c>
      <c r="J40" s="465">
        <v>-4.1235331433944049</v>
      </c>
      <c r="K40" s="465">
        <v>0.83512492043133457</v>
      </c>
      <c r="L40" s="465">
        <v>-1.7254496120021852</v>
      </c>
      <c r="M40" s="505">
        <v>-5.5492030970172683</v>
      </c>
      <c r="N40" s="505">
        <v>-2.2295722852167623</v>
      </c>
      <c r="O40" s="505">
        <v>-1.3124143804176032</v>
      </c>
      <c r="P40" s="505">
        <v>-0.30321298152503734</v>
      </c>
      <c r="Q40" s="505">
        <v>-1.3547039725153162E-2</v>
      </c>
      <c r="R40" s="505">
        <v>0.50809862698485686</v>
      </c>
      <c r="S40" s="465"/>
    </row>
    <row r="41" spans="2:29" ht="13.5" customHeight="1">
      <c r="B41" s="464" t="s">
        <v>123</v>
      </c>
      <c r="C41" s="464" t="s">
        <v>123</v>
      </c>
      <c r="D41" s="465" t="s">
        <v>139</v>
      </c>
      <c r="E41" s="465" t="s">
        <v>139</v>
      </c>
      <c r="F41" s="465" t="s">
        <v>139</v>
      </c>
      <c r="G41" s="465" t="s">
        <v>139</v>
      </c>
      <c r="H41" s="465" t="s">
        <v>139</v>
      </c>
      <c r="I41" s="465" t="s">
        <v>139</v>
      </c>
      <c r="J41" s="465" t="s">
        <v>139</v>
      </c>
      <c r="K41" s="465" t="s">
        <v>139</v>
      </c>
      <c r="L41" s="465" t="s">
        <v>139</v>
      </c>
      <c r="M41" s="505" t="s">
        <v>139</v>
      </c>
      <c r="N41" s="505" t="s">
        <v>139</v>
      </c>
      <c r="O41" s="505" t="s">
        <v>139</v>
      </c>
      <c r="P41" s="505" t="s">
        <v>139</v>
      </c>
      <c r="Q41" s="505" t="s">
        <v>139</v>
      </c>
      <c r="R41" s="505" t="s">
        <v>139</v>
      </c>
      <c r="S41" s="465"/>
    </row>
    <row r="42" spans="2:29" ht="13.5" customHeight="1">
      <c r="B42" s="464" t="s">
        <v>124</v>
      </c>
      <c r="C42" s="464" t="s">
        <v>124</v>
      </c>
      <c r="D42" s="465">
        <v>-1.200549083967458</v>
      </c>
      <c r="E42" s="465">
        <v>-1.2305218894335164</v>
      </c>
      <c r="F42" s="465">
        <v>-0.49925526306778217</v>
      </c>
      <c r="G42" s="465">
        <v>-0.59466523084233924</v>
      </c>
      <c r="H42" s="465">
        <v>-0.2961036800676255</v>
      </c>
      <c r="I42" s="465">
        <v>-0.86659959628152916</v>
      </c>
      <c r="J42" s="465">
        <v>-1.96372862839794</v>
      </c>
      <c r="K42" s="465">
        <v>-0.92652140410091566</v>
      </c>
      <c r="L42" s="465">
        <v>-0.95601542605473855</v>
      </c>
      <c r="M42" s="505">
        <v>-1.2670998880791893</v>
      </c>
      <c r="N42" s="505">
        <v>-0.91394565745575407</v>
      </c>
      <c r="O42" s="505">
        <v>-0.23721822833068165</v>
      </c>
      <c r="P42" s="505">
        <v>0.31400002650642334</v>
      </c>
      <c r="Q42" s="505">
        <v>0.74651171131052629</v>
      </c>
      <c r="R42" s="505">
        <v>0.8799047241592004</v>
      </c>
      <c r="S42" s="465"/>
    </row>
    <row r="43" spans="2:29" ht="13.5" customHeight="1">
      <c r="B43" s="464" t="s">
        <v>991</v>
      </c>
      <c r="C43" s="464" t="s">
        <v>991</v>
      </c>
      <c r="D43" s="465" t="s">
        <v>139</v>
      </c>
      <c r="E43" s="465" t="s">
        <v>139</v>
      </c>
      <c r="F43" s="465" t="s">
        <v>139</v>
      </c>
      <c r="G43" s="465" t="s">
        <v>139</v>
      </c>
      <c r="H43" s="465" t="s">
        <v>139</v>
      </c>
      <c r="I43" s="465" t="s">
        <v>139</v>
      </c>
      <c r="J43" s="465" t="s">
        <v>139</v>
      </c>
      <c r="K43" s="465" t="s">
        <v>139</v>
      </c>
      <c r="L43" s="465" t="s">
        <v>139</v>
      </c>
      <c r="M43" s="505" t="s">
        <v>145</v>
      </c>
      <c r="N43" s="505" t="s">
        <v>145</v>
      </c>
      <c r="O43" s="505" t="s">
        <v>145</v>
      </c>
      <c r="P43" s="505" t="s">
        <v>145</v>
      </c>
      <c r="Q43" s="505" t="s">
        <v>145</v>
      </c>
      <c r="R43" s="505" t="s">
        <v>145</v>
      </c>
      <c r="S43" s="465"/>
    </row>
    <row r="44" spans="2:29" ht="13.5" customHeight="1">
      <c r="B44" s="464" t="s">
        <v>992</v>
      </c>
      <c r="C44" s="464" t="s">
        <v>992</v>
      </c>
      <c r="D44" s="465">
        <v>3.1369001800787055E-2</v>
      </c>
      <c r="E44" s="465">
        <v>0.93008053992577733</v>
      </c>
      <c r="F44" s="465">
        <v>1.1604869251212646</v>
      </c>
      <c r="G44" s="465">
        <v>9.9930680810643976E-2</v>
      </c>
      <c r="H44" s="465">
        <v>0.42290736702958615</v>
      </c>
      <c r="I44" s="465">
        <v>-0.42096486743303163</v>
      </c>
      <c r="J44" s="465">
        <v>-3.328684447639481</v>
      </c>
      <c r="K44" s="465">
        <v>-5.0576573319559257</v>
      </c>
      <c r="L44" s="465">
        <v>-4.0226483031688112</v>
      </c>
      <c r="M44" s="505">
        <v>-1.405728622557407</v>
      </c>
      <c r="N44" s="505">
        <v>-0.85354920109718924</v>
      </c>
      <c r="O44" s="505">
        <v>-1.4041840288266274</v>
      </c>
      <c r="P44" s="505">
        <v>-1.4475166167383924</v>
      </c>
      <c r="Q44" s="505">
        <v>-1.4822922274544796</v>
      </c>
      <c r="R44" s="505">
        <v>-0.89103227211446112</v>
      </c>
      <c r="S44" s="465"/>
    </row>
    <row r="45" spans="2:29">
      <c r="B45" s="464" t="s">
        <v>993</v>
      </c>
      <c r="C45" s="464" t="s">
        <v>993</v>
      </c>
      <c r="D45" s="465">
        <v>0.35913497521573051</v>
      </c>
      <c r="E45" s="465">
        <v>0.25482507216119493</v>
      </c>
      <c r="F45" s="465">
        <v>-0.76983071958064164</v>
      </c>
      <c r="G45" s="465">
        <v>-1.5631130092895029</v>
      </c>
      <c r="H45" s="465">
        <v>-2.6249174711672074</v>
      </c>
      <c r="I45" s="465">
        <v>-2.1643642268906684</v>
      </c>
      <c r="J45" s="465">
        <v>-1.7909499062819494</v>
      </c>
      <c r="K45" s="465">
        <v>-2.7153640396534096</v>
      </c>
      <c r="L45" s="465">
        <v>-1.0527881969117736</v>
      </c>
      <c r="M45" s="505">
        <v>-5.0401742391581905</v>
      </c>
      <c r="N45" s="505">
        <v>-3.4335813428889064</v>
      </c>
      <c r="O45" s="505">
        <v>-2.675800063941868</v>
      </c>
      <c r="P45" s="505">
        <v>-2.3035477828587849</v>
      </c>
      <c r="Q45" s="505">
        <v>-2.1407215685631891</v>
      </c>
      <c r="R45" s="505">
        <v>-2.0306506285874661</v>
      </c>
      <c r="S45" s="465"/>
    </row>
    <row r="46" spans="2:29">
      <c r="B46" s="464" t="s">
        <v>994</v>
      </c>
      <c r="C46" s="464" t="s">
        <v>994</v>
      </c>
      <c r="D46" s="465">
        <v>8.984818221183858E-3</v>
      </c>
      <c r="E46" s="465">
        <v>5.3627880705548403</v>
      </c>
      <c r="F46" s="465">
        <v>3.0337751493854386</v>
      </c>
      <c r="G46" s="465">
        <v>2.2524167713141532</v>
      </c>
      <c r="H46" s="465">
        <v>1.09559867758132</v>
      </c>
      <c r="I46" s="465">
        <v>1.3380181567466636</v>
      </c>
      <c r="J46" s="465">
        <v>-1.5727931583260957</v>
      </c>
      <c r="K46" s="465">
        <v>-0.47543033345554253</v>
      </c>
      <c r="L46" s="465" t="s">
        <v>145</v>
      </c>
      <c r="M46" s="505" t="s">
        <v>145</v>
      </c>
      <c r="N46" s="505" t="s">
        <v>145</v>
      </c>
      <c r="O46" s="505" t="s">
        <v>145</v>
      </c>
      <c r="P46" s="505" t="s">
        <v>145</v>
      </c>
      <c r="Q46" s="505" t="s">
        <v>145</v>
      </c>
      <c r="R46" s="505" t="s">
        <v>145</v>
      </c>
      <c r="S46" s="465"/>
      <c r="T46" s="471"/>
      <c r="U46" s="472"/>
      <c r="V46" s="472"/>
      <c r="W46" s="472"/>
      <c r="X46" s="472"/>
      <c r="Y46" s="472"/>
      <c r="Z46" s="472"/>
      <c r="AA46" s="472"/>
      <c r="AB46" s="472"/>
      <c r="AC46" s="102"/>
    </row>
    <row r="47" spans="2:29">
      <c r="B47" s="464" t="s">
        <v>995</v>
      </c>
      <c r="C47" s="464" t="s">
        <v>995</v>
      </c>
      <c r="D47" s="465" t="s">
        <v>139</v>
      </c>
      <c r="E47" s="465" t="s">
        <v>139</v>
      </c>
      <c r="F47" s="465" t="s">
        <v>139</v>
      </c>
      <c r="G47" s="465" t="s">
        <v>139</v>
      </c>
      <c r="H47" s="465" t="s">
        <v>139</v>
      </c>
      <c r="I47" s="465" t="s">
        <v>139</v>
      </c>
      <c r="J47" s="465" t="s">
        <v>139</v>
      </c>
      <c r="K47" s="465" t="s">
        <v>139</v>
      </c>
      <c r="L47" s="465" t="s">
        <v>139</v>
      </c>
      <c r="M47" s="505" t="s">
        <v>139</v>
      </c>
      <c r="N47" s="505" t="s">
        <v>139</v>
      </c>
      <c r="O47" s="505" t="s">
        <v>139</v>
      </c>
      <c r="P47" s="505" t="s">
        <v>139</v>
      </c>
      <c r="Q47" s="505" t="s">
        <v>139</v>
      </c>
      <c r="R47" s="505" t="s">
        <v>139</v>
      </c>
      <c r="S47" s="465"/>
    </row>
    <row r="48" spans="2:29">
      <c r="B48" s="464" t="s">
        <v>1006</v>
      </c>
      <c r="C48" s="464" t="s">
        <v>997</v>
      </c>
      <c r="D48" s="465">
        <v>-1.2489599434657324</v>
      </c>
      <c r="E48" s="465">
        <v>0.17889444243724398</v>
      </c>
      <c r="F48" s="465">
        <v>-0.18480113715615282</v>
      </c>
      <c r="G48" s="465">
        <v>-0.19540858706476996</v>
      </c>
      <c r="H48" s="465">
        <v>0.51773187201212645</v>
      </c>
      <c r="I48" s="465">
        <v>-0.2420542319019672</v>
      </c>
      <c r="J48" s="465">
        <v>-0.74992875967150319</v>
      </c>
      <c r="K48" s="465">
        <v>0.22844386096502572</v>
      </c>
      <c r="L48" s="465">
        <v>-0.39203884644904163</v>
      </c>
      <c r="M48" s="505">
        <v>-0.74115167020577499</v>
      </c>
      <c r="N48" s="505">
        <v>-1.0061150647357922</v>
      </c>
      <c r="O48" s="505">
        <v>-0.74859011798408437</v>
      </c>
      <c r="P48" s="505">
        <v>-0.4719621284171715</v>
      </c>
      <c r="Q48" s="505">
        <v>-0.28411094481217097</v>
      </c>
      <c r="R48" s="505">
        <v>-0.11079148304623627</v>
      </c>
      <c r="S48" s="465"/>
    </row>
    <row r="49" spans="2:19">
      <c r="B49" s="466" t="s">
        <v>998</v>
      </c>
      <c r="C49" s="466" t="s">
        <v>998</v>
      </c>
      <c r="D49" s="467" t="s">
        <v>139</v>
      </c>
      <c r="E49" s="467" t="s">
        <v>139</v>
      </c>
      <c r="F49" s="467" t="s">
        <v>139</v>
      </c>
      <c r="G49" s="467" t="s">
        <v>139</v>
      </c>
      <c r="H49" s="467" t="s">
        <v>139</v>
      </c>
      <c r="I49" s="467" t="s">
        <v>139</v>
      </c>
      <c r="J49" s="467" t="s">
        <v>139</v>
      </c>
      <c r="K49" s="467" t="s">
        <v>139</v>
      </c>
      <c r="L49" s="467" t="s">
        <v>139</v>
      </c>
      <c r="M49" s="506" t="s">
        <v>139</v>
      </c>
      <c r="N49" s="506" t="s">
        <v>139</v>
      </c>
      <c r="O49" s="506" t="s">
        <v>139</v>
      </c>
      <c r="P49" s="506" t="s">
        <v>139</v>
      </c>
      <c r="Q49" s="506" t="s">
        <v>139</v>
      </c>
      <c r="R49" s="506" t="s">
        <v>139</v>
      </c>
      <c r="S49" s="465"/>
    </row>
    <row r="50" spans="2:19" ht="6" customHeight="1">
      <c r="B50" s="464"/>
      <c r="C50" s="464"/>
      <c r="D50" s="465"/>
      <c r="E50" s="465"/>
      <c r="F50" s="465"/>
      <c r="G50" s="465"/>
      <c r="H50" s="465"/>
      <c r="I50" s="465"/>
      <c r="J50" s="465"/>
      <c r="K50" s="465"/>
      <c r="L50" s="465"/>
      <c r="M50" s="505"/>
      <c r="N50" s="505"/>
      <c r="O50" s="505"/>
      <c r="P50" s="505"/>
      <c r="Q50" s="505"/>
      <c r="R50" s="505"/>
      <c r="S50" s="465"/>
    </row>
    <row r="51" spans="2:19" ht="15" customHeight="1">
      <c r="B51" s="613" t="s">
        <v>927</v>
      </c>
      <c r="C51" s="613"/>
      <c r="D51" s="613"/>
      <c r="E51" s="613"/>
      <c r="F51" s="613"/>
      <c r="G51" s="613"/>
      <c r="H51" s="613"/>
      <c r="I51" s="613"/>
      <c r="J51" s="613"/>
      <c r="K51" s="613"/>
      <c r="L51" s="613"/>
      <c r="M51" s="613"/>
      <c r="N51" s="613"/>
      <c r="O51" s="613"/>
      <c r="P51" s="613"/>
      <c r="Q51" s="507"/>
      <c r="R51" s="507"/>
      <c r="S51" s="468"/>
    </row>
    <row r="52" spans="2:19" ht="22.5" customHeight="1">
      <c r="B52" s="615" t="s">
        <v>1015</v>
      </c>
      <c r="C52" s="615"/>
      <c r="D52" s="615"/>
      <c r="E52" s="615"/>
      <c r="F52" s="615"/>
      <c r="G52" s="615"/>
      <c r="H52" s="615"/>
      <c r="I52" s="615"/>
      <c r="J52" s="615"/>
      <c r="K52" s="615"/>
      <c r="L52" s="615"/>
      <c r="M52" s="615"/>
      <c r="N52" s="615"/>
      <c r="O52" s="615"/>
      <c r="P52" s="615"/>
      <c r="Q52" s="615"/>
      <c r="R52" s="615"/>
      <c r="S52" s="508"/>
    </row>
    <row r="53" spans="2:19" ht="15.75" customHeight="1">
      <c r="B53" s="464" t="s">
        <v>1016</v>
      </c>
      <c r="C53" s="495"/>
      <c r="D53" s="495"/>
      <c r="E53" s="495"/>
      <c r="F53" s="495"/>
      <c r="G53" s="495"/>
      <c r="H53" s="495"/>
      <c r="I53" s="495"/>
      <c r="J53" s="495"/>
      <c r="K53" s="495"/>
      <c r="L53" s="495"/>
      <c r="M53" s="509"/>
      <c r="N53" s="509"/>
      <c r="O53" s="509"/>
      <c r="P53" s="509"/>
      <c r="Q53" s="509"/>
      <c r="R53" s="509"/>
      <c r="S53" s="508"/>
    </row>
    <row r="54" spans="2:19" ht="13.5" customHeight="1">
      <c r="B54" s="618" t="s">
        <v>1017</v>
      </c>
      <c r="C54" s="618"/>
      <c r="D54" s="618"/>
      <c r="E54" s="618"/>
      <c r="F54" s="618"/>
      <c r="G54" s="618"/>
      <c r="H54" s="618"/>
      <c r="I54" s="618"/>
      <c r="J54" s="618"/>
      <c r="K54" s="618"/>
      <c r="L54" s="618"/>
      <c r="M54" s="618"/>
      <c r="N54" s="618"/>
      <c r="O54" s="618"/>
      <c r="P54" s="618"/>
      <c r="Q54" s="618"/>
      <c r="R54" s="618"/>
      <c r="S54" s="508"/>
    </row>
    <row r="55" spans="2:19" ht="88.5" customHeight="1">
      <c r="B55" s="618" t="s">
        <v>1010</v>
      </c>
      <c r="C55" s="618"/>
      <c r="D55" s="618"/>
      <c r="E55" s="618"/>
      <c r="F55" s="618"/>
      <c r="G55" s="618"/>
      <c r="H55" s="618"/>
      <c r="I55" s="618"/>
      <c r="J55" s="618"/>
      <c r="K55" s="618"/>
      <c r="L55" s="618"/>
      <c r="M55" s="618"/>
      <c r="N55" s="618"/>
      <c r="O55" s="618"/>
      <c r="P55" s="618"/>
      <c r="Q55" s="618"/>
      <c r="R55" s="618"/>
      <c r="S55" s="507"/>
    </row>
    <row r="56" spans="2:19" ht="88.5" customHeight="1">
      <c r="B56" s="464"/>
      <c r="C56" s="464"/>
      <c r="D56" s="469"/>
      <c r="E56" s="469"/>
      <c r="F56" s="469"/>
      <c r="G56" s="469"/>
      <c r="H56" s="469"/>
      <c r="I56" s="469"/>
      <c r="J56" s="469"/>
      <c r="K56" s="469"/>
      <c r="L56" s="469"/>
    </row>
    <row r="57" spans="2:19">
      <c r="B57" s="464"/>
      <c r="C57" s="464"/>
      <c r="D57" s="469"/>
      <c r="E57" s="469"/>
      <c r="F57" s="469"/>
      <c r="G57" s="469"/>
      <c r="H57" s="469"/>
      <c r="I57" s="469"/>
      <c r="J57" s="469"/>
      <c r="K57" s="469"/>
      <c r="L57" s="469"/>
    </row>
    <row r="58" spans="2:19">
      <c r="B58" s="464"/>
      <c r="C58" s="464"/>
      <c r="D58" s="469"/>
      <c r="E58" s="469"/>
      <c r="F58" s="469"/>
      <c r="G58" s="469"/>
      <c r="H58" s="469"/>
      <c r="I58" s="469"/>
      <c r="J58" s="469"/>
      <c r="K58" s="469"/>
      <c r="L58" s="469"/>
    </row>
    <row r="59" spans="2:19">
      <c r="B59" s="464"/>
      <c r="C59" s="464"/>
      <c r="D59" s="469"/>
      <c r="E59" s="469"/>
      <c r="F59" s="469"/>
      <c r="G59" s="469"/>
      <c r="H59" s="469"/>
      <c r="I59" s="469"/>
      <c r="J59" s="469"/>
      <c r="K59" s="469"/>
      <c r="L59" s="469"/>
    </row>
    <row r="60" spans="2:19">
      <c r="B60" s="464"/>
      <c r="C60" s="464"/>
      <c r="D60" s="469"/>
      <c r="E60" s="469"/>
      <c r="F60" s="469"/>
      <c r="G60" s="469"/>
      <c r="H60" s="469"/>
      <c r="I60" s="469"/>
      <c r="J60" s="469"/>
      <c r="K60" s="469"/>
      <c r="L60" s="469"/>
    </row>
    <row r="61" spans="2:19">
      <c r="B61" s="464"/>
      <c r="C61" s="464"/>
      <c r="D61" s="469"/>
      <c r="E61" s="469"/>
      <c r="F61" s="469"/>
      <c r="G61" s="469"/>
      <c r="H61" s="469"/>
      <c r="I61" s="469"/>
      <c r="J61" s="469"/>
      <c r="K61" s="469"/>
      <c r="L61" s="469"/>
    </row>
    <row r="62" spans="2:19">
      <c r="B62" s="464"/>
      <c r="C62" s="464"/>
      <c r="D62" s="469"/>
      <c r="E62" s="469"/>
      <c r="F62" s="469"/>
      <c r="G62" s="469"/>
      <c r="H62" s="469"/>
      <c r="I62" s="469"/>
      <c r="J62" s="469"/>
      <c r="K62" s="469"/>
      <c r="L62" s="469"/>
    </row>
    <row r="63" spans="2:19">
      <c r="B63" s="464"/>
      <c r="C63" s="464"/>
      <c r="D63" s="469"/>
      <c r="E63" s="469"/>
      <c r="F63" s="469"/>
      <c r="G63" s="469"/>
      <c r="H63" s="469"/>
      <c r="I63" s="469"/>
      <c r="J63" s="469"/>
      <c r="K63" s="469"/>
      <c r="L63" s="469"/>
    </row>
    <row r="64" spans="2:19">
      <c r="B64" s="464"/>
      <c r="C64" s="464"/>
      <c r="D64" s="469"/>
      <c r="E64" s="469"/>
      <c r="F64" s="469"/>
      <c r="G64" s="469"/>
      <c r="H64" s="469"/>
      <c r="I64" s="469"/>
      <c r="J64" s="469"/>
      <c r="K64" s="469"/>
      <c r="L64" s="469"/>
    </row>
    <row r="65" spans="2:12">
      <c r="B65" s="464"/>
      <c r="C65" s="464"/>
      <c r="D65" s="469"/>
      <c r="E65" s="469"/>
      <c r="F65" s="469"/>
      <c r="G65" s="469"/>
      <c r="H65" s="469"/>
      <c r="I65" s="469"/>
      <c r="J65" s="469"/>
      <c r="K65" s="469"/>
      <c r="L65" s="469"/>
    </row>
    <row r="66" spans="2:12">
      <c r="B66" s="464"/>
      <c r="C66" s="464"/>
      <c r="D66" s="469"/>
      <c r="E66" s="469"/>
      <c r="F66" s="469"/>
      <c r="G66" s="469"/>
      <c r="H66" s="469"/>
      <c r="I66" s="469"/>
      <c r="J66" s="469"/>
      <c r="K66" s="469"/>
      <c r="L66" s="469"/>
    </row>
    <row r="67" spans="2:12">
      <c r="B67" s="464"/>
      <c r="C67" s="464"/>
      <c r="D67" s="469"/>
      <c r="E67" s="469"/>
      <c r="F67" s="469"/>
      <c r="G67" s="469"/>
      <c r="H67" s="469"/>
      <c r="I67" s="469"/>
      <c r="J67" s="469"/>
      <c r="K67" s="469"/>
      <c r="L67" s="469"/>
    </row>
    <row r="68" spans="2:12">
      <c r="B68" s="464"/>
      <c r="C68" s="464"/>
      <c r="D68" s="469"/>
      <c r="E68" s="469"/>
      <c r="F68" s="469"/>
      <c r="G68" s="469"/>
      <c r="H68" s="469"/>
      <c r="I68" s="469"/>
      <c r="J68" s="469"/>
      <c r="K68" s="469"/>
      <c r="L68" s="469"/>
    </row>
    <row r="69" spans="2:12">
      <c r="B69" s="464"/>
      <c r="C69" s="464"/>
      <c r="D69" s="469"/>
      <c r="E69" s="469"/>
      <c r="F69" s="469"/>
      <c r="G69" s="469"/>
      <c r="H69" s="469"/>
      <c r="I69" s="469"/>
      <c r="J69" s="469"/>
      <c r="K69" s="469"/>
      <c r="L69" s="469"/>
    </row>
    <row r="70" spans="2:12">
      <c r="B70" s="464"/>
      <c r="C70" s="464"/>
      <c r="D70" s="469"/>
      <c r="E70" s="469"/>
      <c r="F70" s="469"/>
      <c r="G70" s="469"/>
      <c r="H70" s="469"/>
      <c r="I70" s="469"/>
      <c r="J70" s="469"/>
      <c r="K70" s="469"/>
      <c r="L70" s="469"/>
    </row>
    <row r="71" spans="2:12">
      <c r="B71" s="464"/>
      <c r="C71" s="464"/>
      <c r="D71" s="469"/>
      <c r="E71" s="469"/>
      <c r="F71" s="469"/>
      <c r="G71" s="469"/>
      <c r="H71" s="469"/>
      <c r="I71" s="469"/>
      <c r="J71" s="469"/>
      <c r="K71" s="469"/>
      <c r="L71" s="469"/>
    </row>
    <row r="72" spans="2:12">
      <c r="B72" s="464"/>
      <c r="C72" s="464"/>
      <c r="D72" s="469"/>
      <c r="E72" s="469"/>
      <c r="F72" s="469"/>
      <c r="G72" s="469"/>
      <c r="H72" s="469"/>
      <c r="I72" s="469"/>
      <c r="J72" s="469"/>
      <c r="K72" s="469"/>
      <c r="L72" s="469"/>
    </row>
    <row r="73" spans="2:12">
      <c r="B73" s="464"/>
      <c r="C73" s="464"/>
      <c r="D73" s="469"/>
      <c r="E73" s="469"/>
      <c r="F73" s="469"/>
      <c r="G73" s="469"/>
      <c r="H73" s="469"/>
      <c r="I73" s="469"/>
      <c r="J73" s="469"/>
      <c r="K73" s="469"/>
      <c r="L73" s="469"/>
    </row>
    <row r="74" spans="2:12">
      <c r="B74" s="464"/>
      <c r="C74" s="464"/>
      <c r="D74" s="469"/>
      <c r="E74" s="469"/>
      <c r="F74" s="469"/>
      <c r="G74" s="469"/>
      <c r="H74" s="469"/>
      <c r="I74" s="469"/>
      <c r="J74" s="469"/>
      <c r="K74" s="469"/>
      <c r="L74" s="469"/>
    </row>
  </sheetData>
  <mergeCells count="5">
    <mergeCell ref="B3:R3"/>
    <mergeCell ref="B51:P51"/>
    <mergeCell ref="B52:R52"/>
    <mergeCell ref="B54:R54"/>
    <mergeCell ref="B55:R55"/>
  </mergeCells>
  <conditionalFormatting sqref="B21">
    <cfRule type="expression" dxfId="30" priority="7">
      <formula>MOD(ROW(),2)=0</formula>
    </cfRule>
  </conditionalFormatting>
  <conditionalFormatting sqref="B11:R49">
    <cfRule type="expression" dxfId="29" priority="1">
      <formula>MOD(ROW(),2)=0</formula>
    </cfRule>
  </conditionalFormatting>
  <pageMargins left="0.7" right="0.7" top="0.75" bottom="0.75" header="0.3" footer="0.3"/>
  <pageSetup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81DF-FE64-4401-A5C7-D61E0FB988DB}">
  <sheetPr codeName="Sheet16">
    <pageSetUpPr fitToPage="1"/>
  </sheetPr>
  <dimension ref="A1:AH74"/>
  <sheetViews>
    <sheetView zoomScale="130" zoomScaleNormal="130" workbookViewId="0">
      <pane xSplit="3" ySplit="4" topLeftCell="G5" activePane="bottomRight" state="frozen"/>
      <selection pane="bottomRight"/>
      <selection pane="bottomLeft" activeCell="B88" sqref="B88:K88"/>
      <selection pane="topRight" activeCell="B88" sqref="B88:K88"/>
    </sheetView>
  </sheetViews>
  <sheetFormatPr defaultColWidth="9.140625" defaultRowHeight="15" outlineLevelCol="1"/>
  <cols>
    <col min="1" max="1" width="6.7109375" style="496" customWidth="1"/>
    <col min="2" max="2" width="17.5703125" style="451" customWidth="1"/>
    <col min="3" max="3" width="20.5703125" style="451" hidden="1" customWidth="1" outlineLevel="1"/>
    <col min="4" max="4" width="8.85546875" style="452" customWidth="1" collapsed="1"/>
    <col min="5" max="18" width="8.85546875" style="452" customWidth="1"/>
    <col min="19" max="19" width="9.140625" style="496"/>
    <col min="20" max="20" width="0" style="496" hidden="1" customWidth="1"/>
    <col min="21" max="34" width="9.140625" style="496"/>
    <col min="35" max="16384" width="9.140625" style="451"/>
  </cols>
  <sheetData>
    <row r="1" spans="2:21">
      <c r="U1" s="497"/>
    </row>
    <row r="2" spans="2:21" ht="14.45" customHeight="1">
      <c r="B2" s="616" t="str">
        <f>"Table A13. Emerging Market and Middle-Income Economies: General Government Revenue, "&amp;D4&amp;"–"&amp;RIGHT(R4,2)</f>
        <v>Table A13. Emerging Market and Middle-Income Economies: General Government Revenue, 2014–28</v>
      </c>
      <c r="C2" s="616"/>
      <c r="D2" s="616"/>
      <c r="E2" s="616"/>
      <c r="F2" s="616"/>
      <c r="G2" s="616"/>
      <c r="H2" s="616"/>
      <c r="I2" s="616"/>
      <c r="J2" s="616"/>
      <c r="K2" s="616"/>
      <c r="L2" s="616"/>
      <c r="M2" s="616"/>
      <c r="N2" s="616"/>
      <c r="O2" s="485"/>
      <c r="P2" s="485"/>
      <c r="Q2" s="485"/>
      <c r="R2" s="485"/>
      <c r="T2" s="490" t="s">
        <v>966</v>
      </c>
      <c r="U2" s="489"/>
    </row>
    <row r="3" spans="2:21">
      <c r="B3" s="619" t="s">
        <v>81</v>
      </c>
      <c r="C3" s="619"/>
      <c r="D3" s="619"/>
      <c r="E3" s="619"/>
      <c r="F3" s="619"/>
      <c r="G3" s="619"/>
      <c r="H3" s="619"/>
      <c r="I3" s="619"/>
      <c r="J3" s="619"/>
      <c r="K3" s="619"/>
      <c r="L3" s="619"/>
      <c r="M3" s="619"/>
      <c r="N3" s="619"/>
      <c r="O3" s="619"/>
      <c r="P3" s="619"/>
      <c r="Q3" s="619"/>
      <c r="R3" s="619"/>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196</v>
      </c>
      <c r="C5" s="491" t="s">
        <v>967</v>
      </c>
      <c r="D5" s="461">
        <v>28.295454382362141</v>
      </c>
      <c r="E5" s="461">
        <v>27.356693463029778</v>
      </c>
      <c r="F5" s="461">
        <v>27.09165025624209</v>
      </c>
      <c r="G5" s="461">
        <v>27.35257044982146</v>
      </c>
      <c r="H5" s="461">
        <v>27.906852427896421</v>
      </c>
      <c r="I5" s="461">
        <v>27.411925298069839</v>
      </c>
      <c r="J5" s="461">
        <v>25.552410160931696</v>
      </c>
      <c r="K5" s="461">
        <v>26.532294392128275</v>
      </c>
      <c r="L5" s="461">
        <v>26.51541318368854</v>
      </c>
      <c r="M5" s="461">
        <v>25.951087034234419</v>
      </c>
      <c r="N5" s="461">
        <v>26.028521172376269</v>
      </c>
      <c r="O5" s="461">
        <v>26.029842875866233</v>
      </c>
      <c r="P5" s="461">
        <v>26.08241912674761</v>
      </c>
      <c r="Q5" s="461">
        <v>26.122033079671379</v>
      </c>
      <c r="R5" s="461">
        <v>26.121325889202691</v>
      </c>
    </row>
    <row r="6" spans="2:21" ht="14.1" customHeight="1">
      <c r="B6" s="492" t="s">
        <v>108</v>
      </c>
      <c r="C6" s="491" t="s">
        <v>109</v>
      </c>
      <c r="D6" s="461">
        <v>25.636290440581764</v>
      </c>
      <c r="E6" s="461">
        <v>26.322847856535372</v>
      </c>
      <c r="F6" s="461">
        <v>26.090672985291391</v>
      </c>
      <c r="G6" s="461">
        <v>26.223162080221535</v>
      </c>
      <c r="H6" s="461">
        <v>26.30442806404244</v>
      </c>
      <c r="I6" s="461">
        <v>25.448433557948352</v>
      </c>
      <c r="J6" s="461">
        <v>23.582522177241845</v>
      </c>
      <c r="K6" s="461">
        <v>24.625624255417748</v>
      </c>
      <c r="L6" s="461">
        <v>23.752907151088181</v>
      </c>
      <c r="M6" s="461">
        <v>23.735499689482854</v>
      </c>
      <c r="N6" s="461">
        <v>23.938815833619763</v>
      </c>
      <c r="O6" s="461">
        <v>24.092380437279278</v>
      </c>
      <c r="P6" s="461">
        <v>24.268315029669832</v>
      </c>
      <c r="Q6" s="461">
        <v>24.432063887036612</v>
      </c>
      <c r="R6" s="461">
        <v>24.540076716287665</v>
      </c>
    </row>
    <row r="7" spans="2:21" ht="14.1" customHeight="1">
      <c r="B7" s="492" t="s">
        <v>113</v>
      </c>
      <c r="C7" s="491" t="s">
        <v>114</v>
      </c>
      <c r="D7" s="461">
        <v>34.284565005885945</v>
      </c>
      <c r="E7" s="461">
        <v>33.254411505924523</v>
      </c>
      <c r="F7" s="461">
        <v>33.636459700104787</v>
      </c>
      <c r="G7" s="461">
        <v>33.647482664470246</v>
      </c>
      <c r="H7" s="461">
        <v>35.031641934963652</v>
      </c>
      <c r="I7" s="461">
        <v>35.082119657500016</v>
      </c>
      <c r="J7" s="461">
        <v>34.273436658959447</v>
      </c>
      <c r="K7" s="461">
        <v>34.30364772658136</v>
      </c>
      <c r="L7" s="461">
        <v>34.082730235266609</v>
      </c>
      <c r="M7" s="461">
        <v>32.703492319954464</v>
      </c>
      <c r="N7" s="461">
        <v>33.127178710688653</v>
      </c>
      <c r="O7" s="461">
        <v>33.101604236997048</v>
      </c>
      <c r="P7" s="461">
        <v>33.204589155064838</v>
      </c>
      <c r="Q7" s="461">
        <v>33.153121813933446</v>
      </c>
      <c r="R7" s="461">
        <v>33.202159168866409</v>
      </c>
    </row>
    <row r="8" spans="2:21" ht="14.1" customHeight="1">
      <c r="B8" s="492" t="s">
        <v>117</v>
      </c>
      <c r="C8" s="491" t="s">
        <v>118</v>
      </c>
      <c r="D8" s="461">
        <v>28.926713655438643</v>
      </c>
      <c r="E8" s="461">
        <v>28.140653247350389</v>
      </c>
      <c r="F8" s="461">
        <v>28.888342290562573</v>
      </c>
      <c r="G8" s="461">
        <v>28.803600601685019</v>
      </c>
      <c r="H8" s="461">
        <v>28.601571174293955</v>
      </c>
      <c r="I8" s="461">
        <v>28.96964632547698</v>
      </c>
      <c r="J8" s="461">
        <v>27.275058411375426</v>
      </c>
      <c r="K8" s="461">
        <v>28.812781804484995</v>
      </c>
      <c r="L8" s="461">
        <v>30.326099091141906</v>
      </c>
      <c r="M8" s="461">
        <v>28.57227787344085</v>
      </c>
      <c r="N8" s="461">
        <v>28.641913545799582</v>
      </c>
      <c r="O8" s="461">
        <v>28.617378632809309</v>
      </c>
      <c r="P8" s="461">
        <v>28.645163319659556</v>
      </c>
      <c r="Q8" s="461">
        <v>28.733720658057933</v>
      </c>
      <c r="R8" s="461">
        <v>28.783756640448821</v>
      </c>
    </row>
    <row r="9" spans="2:21" ht="14.1" customHeight="1">
      <c r="B9" s="492" t="s">
        <v>121</v>
      </c>
      <c r="C9" s="491" t="s">
        <v>122</v>
      </c>
      <c r="D9" s="461">
        <v>32.510726676213721</v>
      </c>
      <c r="E9" s="461">
        <v>26.285864902573426</v>
      </c>
      <c r="F9" s="461">
        <v>23.927816167422499</v>
      </c>
      <c r="G9" s="461">
        <v>25.493664018636753</v>
      </c>
      <c r="H9" s="461">
        <v>29.734256067679922</v>
      </c>
      <c r="I9" s="461">
        <v>29.538966242284889</v>
      </c>
      <c r="J9" s="461">
        <v>26.854674146596771</v>
      </c>
      <c r="K9" s="461">
        <v>27.940317050985591</v>
      </c>
      <c r="L9" s="461">
        <v>30.246151572277704</v>
      </c>
      <c r="M9" s="461">
        <v>29.397170380284411</v>
      </c>
      <c r="N9" s="461">
        <v>28.73741231969397</v>
      </c>
      <c r="O9" s="461">
        <v>28.21002134207205</v>
      </c>
      <c r="P9" s="461">
        <v>27.803096242222882</v>
      </c>
      <c r="Q9" s="461">
        <v>27.445106459432541</v>
      </c>
      <c r="R9" s="461">
        <v>26.907506087106967</v>
      </c>
    </row>
    <row r="10" spans="2:21" ht="14.1" customHeight="1">
      <c r="B10" s="493" t="s">
        <v>968</v>
      </c>
      <c r="C10" s="491" t="s">
        <v>103</v>
      </c>
      <c r="D10" s="461">
        <v>28.28816652094844</v>
      </c>
      <c r="E10" s="461">
        <v>27.835370563284233</v>
      </c>
      <c r="F10" s="461">
        <v>27.891554638725459</v>
      </c>
      <c r="G10" s="461">
        <v>28.050406170697702</v>
      </c>
      <c r="H10" s="461">
        <v>28.17375361523035</v>
      </c>
      <c r="I10" s="461">
        <v>27.576322750084646</v>
      </c>
      <c r="J10" s="461">
        <v>25.571969060473354</v>
      </c>
      <c r="K10" s="461">
        <v>26.601087785895725</v>
      </c>
      <c r="L10" s="461">
        <v>26.247831291273801</v>
      </c>
      <c r="M10" s="461">
        <v>25.641019524886151</v>
      </c>
      <c r="N10" s="461">
        <v>25.838380655535762</v>
      </c>
      <c r="O10" s="461">
        <v>25.930155419785329</v>
      </c>
      <c r="P10" s="461">
        <v>26.055867977619684</v>
      </c>
      <c r="Q10" s="461">
        <v>26.156081149728649</v>
      </c>
      <c r="R10" s="461">
        <v>26.20423266359267</v>
      </c>
    </row>
    <row r="11" spans="2:21" ht="15" customHeight="1">
      <c r="B11" s="464" t="s">
        <v>969</v>
      </c>
      <c r="C11" s="464" t="s">
        <v>969</v>
      </c>
      <c r="D11" s="465">
        <v>33.305480422088849</v>
      </c>
      <c r="E11" s="465">
        <v>30.544078911073903</v>
      </c>
      <c r="F11" s="465">
        <v>28.613733685039911</v>
      </c>
      <c r="G11" s="465">
        <v>32.558046264743723</v>
      </c>
      <c r="H11" s="465">
        <v>33.475769240199085</v>
      </c>
      <c r="I11" s="465">
        <v>32.20249737707325</v>
      </c>
      <c r="J11" s="465">
        <v>30.529693302945844</v>
      </c>
      <c r="K11" s="465">
        <v>29.831733795908384</v>
      </c>
      <c r="L11" s="465">
        <v>33.37695384135543</v>
      </c>
      <c r="M11" s="465">
        <v>30.075906793758961</v>
      </c>
      <c r="N11" s="465">
        <v>28.3917181593742</v>
      </c>
      <c r="O11" s="465">
        <v>27.656182199103966</v>
      </c>
      <c r="P11" s="465">
        <v>26.794889805928108</v>
      </c>
      <c r="Q11" s="465">
        <v>26.479230638417899</v>
      </c>
      <c r="R11" s="465">
        <v>26.392321062057043</v>
      </c>
    </row>
    <row r="12" spans="2:21" ht="13.5" customHeight="1">
      <c r="B12" s="464" t="s">
        <v>970</v>
      </c>
      <c r="C12" s="464" t="s">
        <v>970</v>
      </c>
      <c r="D12" s="465">
        <v>30.736414793431155</v>
      </c>
      <c r="E12" s="465">
        <v>24.133864104780692</v>
      </c>
      <c r="F12" s="465">
        <v>17.522939524684364</v>
      </c>
      <c r="G12" s="465">
        <v>17.516465654640974</v>
      </c>
      <c r="H12" s="465">
        <v>22.865698751769791</v>
      </c>
      <c r="I12" s="465">
        <v>21.178818849691222</v>
      </c>
      <c r="J12" s="465">
        <v>21.345486578872006</v>
      </c>
      <c r="K12" s="465">
        <v>23.328969990684136</v>
      </c>
      <c r="L12" s="465">
        <v>23.401907684539296</v>
      </c>
      <c r="M12" s="465">
        <v>21.521646144560748</v>
      </c>
      <c r="N12" s="465">
        <v>20.633436190762826</v>
      </c>
      <c r="O12" s="465">
        <v>19.791205429358818</v>
      </c>
      <c r="P12" s="465">
        <v>19.173816356971557</v>
      </c>
      <c r="Q12" s="465">
        <v>18.569874994318241</v>
      </c>
      <c r="R12" s="465">
        <v>18.219146206383293</v>
      </c>
    </row>
    <row r="13" spans="2:21" ht="13.5" customHeight="1">
      <c r="B13" s="464" t="s">
        <v>971</v>
      </c>
      <c r="C13" s="464" t="s">
        <v>971</v>
      </c>
      <c r="D13" s="465">
        <v>34.600502413750803</v>
      </c>
      <c r="E13" s="465">
        <v>35.365772019337641</v>
      </c>
      <c r="F13" s="465">
        <v>34.867351694500016</v>
      </c>
      <c r="G13" s="465">
        <v>34.428112889621062</v>
      </c>
      <c r="H13" s="465">
        <v>33.508062980314399</v>
      </c>
      <c r="I13" s="465">
        <v>33.307612419941968</v>
      </c>
      <c r="J13" s="465">
        <v>33.47103911587191</v>
      </c>
      <c r="K13" s="465">
        <v>33.504756572448599</v>
      </c>
      <c r="L13" s="465">
        <v>33.370019011120419</v>
      </c>
      <c r="M13" s="465">
        <v>32.333417233802336</v>
      </c>
      <c r="N13" s="465">
        <v>33.872923198376533</v>
      </c>
      <c r="O13" s="465">
        <v>34.852651638207796</v>
      </c>
      <c r="P13" s="465">
        <v>35.61493602043771</v>
      </c>
      <c r="Q13" s="465">
        <v>35.837435427153302</v>
      </c>
      <c r="R13" s="465">
        <v>35.896809635719734</v>
      </c>
    </row>
    <row r="14" spans="2:21" ht="13.5" customHeight="1">
      <c r="B14" s="464" t="s">
        <v>972</v>
      </c>
      <c r="C14" s="464" t="s">
        <v>972</v>
      </c>
      <c r="D14" s="465">
        <v>38.928559057310899</v>
      </c>
      <c r="E14" s="465">
        <v>38.806474455500798</v>
      </c>
      <c r="F14" s="465">
        <v>39.024134060253402</v>
      </c>
      <c r="G14" s="465">
        <v>38.705564029260074</v>
      </c>
      <c r="H14" s="465">
        <v>39.649420707122403</v>
      </c>
      <c r="I14" s="465">
        <v>38.263026210687727</v>
      </c>
      <c r="J14" s="465">
        <v>35.174839562258555</v>
      </c>
      <c r="K14" s="465">
        <v>35.36424713055726</v>
      </c>
      <c r="L14" s="465">
        <v>31.960573993379924</v>
      </c>
      <c r="M14" s="465">
        <v>33.486476280035937</v>
      </c>
      <c r="N14" s="465">
        <v>34.195454881158597</v>
      </c>
      <c r="O14" s="465">
        <v>35.156042011025903</v>
      </c>
      <c r="P14" s="465">
        <v>35.262367090044947</v>
      </c>
      <c r="Q14" s="465">
        <v>35.265620024911904</v>
      </c>
      <c r="R14" s="465">
        <v>35.248274475434876</v>
      </c>
    </row>
    <row r="15" spans="2:21" ht="13.5" customHeight="1">
      <c r="B15" s="464" t="s">
        <v>119</v>
      </c>
      <c r="C15" s="464" t="s">
        <v>119</v>
      </c>
      <c r="D15" s="465">
        <v>33.720504662643734</v>
      </c>
      <c r="E15" s="465">
        <v>32.897675194145663</v>
      </c>
      <c r="F15" s="465">
        <v>35.350306930893233</v>
      </c>
      <c r="G15" s="465">
        <v>34.925587862411852</v>
      </c>
      <c r="H15" s="465">
        <v>35.383128135570374</v>
      </c>
      <c r="I15" s="465">
        <v>36.60642536877814</v>
      </c>
      <c r="J15" s="465">
        <v>33.683603662793317</v>
      </c>
      <c r="K15" s="465">
        <v>36.872580459547194</v>
      </c>
      <c r="L15" s="465">
        <v>38.74670303513745</v>
      </c>
      <c r="M15" s="465">
        <v>35.849289806076747</v>
      </c>
      <c r="N15" s="465">
        <v>35.469849695948255</v>
      </c>
      <c r="O15" s="465">
        <v>35.392562179823919</v>
      </c>
      <c r="P15" s="465">
        <v>35.306013977007218</v>
      </c>
      <c r="Q15" s="465">
        <v>35.278464054217636</v>
      </c>
      <c r="R15" s="465">
        <v>35.223106666424698</v>
      </c>
    </row>
    <row r="16" spans="2:21" ht="13.5" customHeight="1">
      <c r="B16" s="464" t="s">
        <v>427</v>
      </c>
      <c r="C16" s="464" t="s">
        <v>427</v>
      </c>
      <c r="D16" s="465">
        <v>33.427567423959665</v>
      </c>
      <c r="E16" s="465">
        <v>34.543996186775288</v>
      </c>
      <c r="F16" s="465">
        <v>34.249613131983985</v>
      </c>
      <c r="G16" s="465">
        <v>32.833481010099987</v>
      </c>
      <c r="H16" s="465">
        <v>34.434199366302074</v>
      </c>
      <c r="I16" s="465">
        <v>34.895492009313195</v>
      </c>
      <c r="J16" s="465">
        <v>34.862205327326194</v>
      </c>
      <c r="K16" s="465">
        <v>35.78450918706276</v>
      </c>
      <c r="L16" s="465">
        <v>37.427596726087216</v>
      </c>
      <c r="M16" s="465">
        <v>36.752635987889612</v>
      </c>
      <c r="N16" s="465">
        <v>35.21961674611557</v>
      </c>
      <c r="O16" s="465">
        <v>34.415457496538316</v>
      </c>
      <c r="P16" s="465">
        <v>34.853027497461575</v>
      </c>
      <c r="Q16" s="465">
        <v>34.562619968782862</v>
      </c>
      <c r="R16" s="465">
        <v>34.293011782050158</v>
      </c>
    </row>
    <row r="17" spans="2:18" ht="13.5" customHeight="1">
      <c r="B17" s="464" t="s">
        <v>973</v>
      </c>
      <c r="C17" s="464" t="s">
        <v>973</v>
      </c>
      <c r="D17" s="465">
        <v>22.356241478764115</v>
      </c>
      <c r="E17" s="465">
        <v>22.93943642826639</v>
      </c>
      <c r="F17" s="465">
        <v>22.706036621632183</v>
      </c>
      <c r="G17" s="465">
        <v>22.86508948210659</v>
      </c>
      <c r="H17" s="465">
        <v>24.133439910433118</v>
      </c>
      <c r="I17" s="465">
        <v>23.739981958219285</v>
      </c>
      <c r="J17" s="465">
        <v>21.974626298973689</v>
      </c>
      <c r="K17" s="465">
        <v>25.988428286655502</v>
      </c>
      <c r="L17" s="465">
        <v>27.891406986409766</v>
      </c>
      <c r="M17" s="465">
        <v>24.775796997832142</v>
      </c>
      <c r="N17" s="465">
        <v>25.367096649774389</v>
      </c>
      <c r="O17" s="465">
        <v>25.399689447752372</v>
      </c>
      <c r="P17" s="465">
        <v>25.333718670228894</v>
      </c>
      <c r="Q17" s="465">
        <v>25.594657364360572</v>
      </c>
      <c r="R17" s="465">
        <v>25.46676777656559</v>
      </c>
    </row>
    <row r="18" spans="2:18" ht="13.5" customHeight="1">
      <c r="B18" s="464" t="s">
        <v>111</v>
      </c>
      <c r="C18" s="464" t="s">
        <v>111</v>
      </c>
      <c r="D18" s="465">
        <v>28.207049769158893</v>
      </c>
      <c r="E18" s="465">
        <v>29.008644438737964</v>
      </c>
      <c r="F18" s="465">
        <v>28.924285140746719</v>
      </c>
      <c r="G18" s="465">
        <v>29.231691741537247</v>
      </c>
      <c r="H18" s="465">
        <v>28.993449247560427</v>
      </c>
      <c r="I18" s="465">
        <v>28.050729001887891</v>
      </c>
      <c r="J18" s="465">
        <v>25.684616429451275</v>
      </c>
      <c r="K18" s="465">
        <v>26.641146047185867</v>
      </c>
      <c r="L18" s="465">
        <v>25.537136636822616</v>
      </c>
      <c r="M18" s="465">
        <v>25.647112166190354</v>
      </c>
      <c r="N18" s="465">
        <v>25.864909237905167</v>
      </c>
      <c r="O18" s="465">
        <v>26.036765807314215</v>
      </c>
      <c r="P18" s="465">
        <v>26.232312548660257</v>
      </c>
      <c r="Q18" s="465">
        <v>26.418282791728775</v>
      </c>
      <c r="R18" s="465">
        <v>26.53637823924479</v>
      </c>
    </row>
    <row r="19" spans="2:18" ht="13.5" customHeight="1">
      <c r="B19" s="464" t="s">
        <v>480</v>
      </c>
      <c r="C19" s="464" t="s">
        <v>480</v>
      </c>
      <c r="D19" s="465">
        <v>29.517126854378077</v>
      </c>
      <c r="E19" s="465">
        <v>27.757162319820278</v>
      </c>
      <c r="F19" s="465">
        <v>27.719700577667862</v>
      </c>
      <c r="G19" s="465">
        <v>26.824972175386407</v>
      </c>
      <c r="H19" s="465">
        <v>29.990242298185848</v>
      </c>
      <c r="I19" s="465">
        <v>29.397084153235927</v>
      </c>
      <c r="J19" s="465">
        <v>26.599821199056066</v>
      </c>
      <c r="K19" s="465">
        <v>27.217424773771114</v>
      </c>
      <c r="L19" s="465">
        <v>27.562438657812461</v>
      </c>
      <c r="M19" s="465">
        <v>31.406552126644339</v>
      </c>
      <c r="N19" s="465">
        <v>32.085657348094834</v>
      </c>
      <c r="O19" s="465">
        <v>30.957824698222367</v>
      </c>
      <c r="P19" s="465">
        <v>30.601176319197641</v>
      </c>
      <c r="Q19" s="465">
        <v>30.692491058544206</v>
      </c>
      <c r="R19" s="465">
        <v>30.718262474593349</v>
      </c>
    </row>
    <row r="20" spans="2:18" ht="13.5" customHeight="1">
      <c r="B20" s="464" t="s">
        <v>975</v>
      </c>
      <c r="C20" s="464" t="s">
        <v>975</v>
      </c>
      <c r="D20" s="465">
        <v>14.247109968709537</v>
      </c>
      <c r="E20" s="465">
        <v>16.648164902511635</v>
      </c>
      <c r="F20" s="465">
        <v>13.871206923691542</v>
      </c>
      <c r="G20" s="465">
        <v>13.976602020035289</v>
      </c>
      <c r="H20" s="465">
        <v>14.191252273322243</v>
      </c>
      <c r="I20" s="465">
        <v>14.396072919810221</v>
      </c>
      <c r="J20" s="465">
        <v>14.18669300498688</v>
      </c>
      <c r="K20" s="465">
        <v>15.598541224164887</v>
      </c>
      <c r="L20" s="465">
        <v>15.451324648974706</v>
      </c>
      <c r="M20" s="465">
        <v>14.862188438227969</v>
      </c>
      <c r="N20" s="465">
        <v>14.953322324971305</v>
      </c>
      <c r="O20" s="465">
        <v>14.955593266717592</v>
      </c>
      <c r="P20" s="465">
        <v>14.95767313495854</v>
      </c>
      <c r="Q20" s="465">
        <v>14.959578006321578</v>
      </c>
      <c r="R20" s="465">
        <v>14.961328081010244</v>
      </c>
    </row>
    <row r="21" spans="2:18" ht="16.149999999999999" customHeight="1">
      <c r="B21" s="464" t="s">
        <v>1004</v>
      </c>
      <c r="C21" s="464" t="s">
        <v>977</v>
      </c>
      <c r="D21" s="465">
        <v>34.832807165939762</v>
      </c>
      <c r="E21" s="465">
        <v>33.029729226686321</v>
      </c>
      <c r="F21" s="465">
        <v>29.990750730790111</v>
      </c>
      <c r="G21" s="465">
        <v>32.179060251590613</v>
      </c>
      <c r="H21" s="465">
        <v>35.59750940597548</v>
      </c>
      <c r="I21" s="465">
        <v>33.659417340024916</v>
      </c>
      <c r="J21" s="465">
        <v>29.408495983539073</v>
      </c>
      <c r="K21" s="465">
        <v>34.155592625480026</v>
      </c>
      <c r="L21" s="465">
        <v>36.122694548800432</v>
      </c>
      <c r="M21" s="465" t="s">
        <v>145</v>
      </c>
      <c r="N21" s="465" t="s">
        <v>145</v>
      </c>
      <c r="O21" s="465" t="s">
        <v>145</v>
      </c>
      <c r="P21" s="465" t="s">
        <v>145</v>
      </c>
      <c r="Q21" s="465" t="s">
        <v>145</v>
      </c>
      <c r="R21" s="465" t="s">
        <v>145</v>
      </c>
    </row>
    <row r="22" spans="2:18" ht="15.75" customHeight="1">
      <c r="B22" s="464" t="s">
        <v>978</v>
      </c>
      <c r="C22" s="464" t="s">
        <v>978</v>
      </c>
      <c r="D22" s="465">
        <v>23.168912578055309</v>
      </c>
      <c r="E22" s="465">
        <v>20.894943144331897</v>
      </c>
      <c r="F22" s="465">
        <v>19.172038129822969</v>
      </c>
      <c r="G22" s="465">
        <v>20.654552914467025</v>
      </c>
      <c r="H22" s="465">
        <v>19.656097038275256</v>
      </c>
      <c r="I22" s="465">
        <v>19.302208720514653</v>
      </c>
      <c r="J22" s="465">
        <v>18.226764294769691</v>
      </c>
      <c r="K22" s="465">
        <v>18.587899025978899</v>
      </c>
      <c r="L22" s="465">
        <v>18.922256933375834</v>
      </c>
      <c r="M22" s="465">
        <v>18.733375117109581</v>
      </c>
      <c r="N22" s="465">
        <v>19.797775080404975</v>
      </c>
      <c r="O22" s="465">
        <v>20.097992908031674</v>
      </c>
      <c r="P22" s="465">
        <v>20.414220651914555</v>
      </c>
      <c r="Q22" s="465">
        <v>20.731139992125453</v>
      </c>
      <c r="R22" s="465">
        <v>20.902736931731933</v>
      </c>
    </row>
    <row r="23" spans="2:18" ht="13.5" customHeight="1">
      <c r="B23" s="464" t="s">
        <v>450</v>
      </c>
      <c r="C23" s="464" t="s">
        <v>450</v>
      </c>
      <c r="D23" s="465">
        <v>47.270980045637963</v>
      </c>
      <c r="E23" s="465">
        <v>48.375706162579363</v>
      </c>
      <c r="F23" s="465">
        <v>45.000766157259548</v>
      </c>
      <c r="G23" s="465">
        <v>44.258648882283346</v>
      </c>
      <c r="H23" s="465">
        <v>44.039227007243163</v>
      </c>
      <c r="I23" s="465">
        <v>44.022393111446348</v>
      </c>
      <c r="J23" s="465">
        <v>43.546756387412209</v>
      </c>
      <c r="K23" s="465">
        <v>41.274716460481919</v>
      </c>
      <c r="L23" s="465">
        <v>43.892724797794749</v>
      </c>
      <c r="M23" s="465">
        <v>43.638560874394969</v>
      </c>
      <c r="N23" s="465">
        <v>44.398084577062697</v>
      </c>
      <c r="O23" s="465">
        <v>43.517275705830791</v>
      </c>
      <c r="P23" s="465">
        <v>43.460705368469057</v>
      </c>
      <c r="Q23" s="465">
        <v>42.982998215379588</v>
      </c>
      <c r="R23" s="465">
        <v>42.625993971378364</v>
      </c>
    </row>
    <row r="24" spans="2:18" ht="13.5" customHeight="1">
      <c r="B24" s="464" t="s">
        <v>112</v>
      </c>
      <c r="C24" s="464" t="s">
        <v>112</v>
      </c>
      <c r="D24" s="465">
        <v>19.149373514191577</v>
      </c>
      <c r="E24" s="465">
        <v>19.853890285052067</v>
      </c>
      <c r="F24" s="465">
        <v>20.11283383009329</v>
      </c>
      <c r="G24" s="465">
        <v>20.004426900112581</v>
      </c>
      <c r="H24" s="465">
        <v>19.951849572899423</v>
      </c>
      <c r="I24" s="465">
        <v>19.151764829067844</v>
      </c>
      <c r="J24" s="465">
        <v>18.176955722990449</v>
      </c>
      <c r="K24" s="465">
        <v>19.679814793781688</v>
      </c>
      <c r="L24" s="465">
        <v>19.200631839838501</v>
      </c>
      <c r="M24" s="465">
        <v>19.105179306469772</v>
      </c>
      <c r="N24" s="465">
        <v>19.397920146725486</v>
      </c>
      <c r="O24" s="465">
        <v>19.589436604528451</v>
      </c>
      <c r="P24" s="465">
        <v>19.746334624296765</v>
      </c>
      <c r="Q24" s="465">
        <v>19.895667776700094</v>
      </c>
      <c r="R24" s="465">
        <v>20.039424758198255</v>
      </c>
    </row>
    <row r="25" spans="2:18" ht="13.5" customHeight="1">
      <c r="B25" s="464" t="s">
        <v>281</v>
      </c>
      <c r="C25" s="464" t="s">
        <v>281</v>
      </c>
      <c r="D25" s="465">
        <v>16.460577729014826</v>
      </c>
      <c r="E25" s="465">
        <v>14.874655838178818</v>
      </c>
      <c r="F25" s="465">
        <v>14.337500561274341</v>
      </c>
      <c r="G25" s="465">
        <v>14.053316643830978</v>
      </c>
      <c r="H25" s="465">
        <v>14.890030994450546</v>
      </c>
      <c r="I25" s="465">
        <v>14.174871135376568</v>
      </c>
      <c r="J25" s="465">
        <v>12.461248020611158</v>
      </c>
      <c r="K25" s="465">
        <v>13.639091467289607</v>
      </c>
      <c r="L25" s="465">
        <v>15.199202515150869</v>
      </c>
      <c r="M25" s="465">
        <v>14.390016521353354</v>
      </c>
      <c r="N25" s="465">
        <v>14.581000405388611</v>
      </c>
      <c r="O25" s="465">
        <v>14.669817677278143</v>
      </c>
      <c r="P25" s="465">
        <v>14.818423798684064</v>
      </c>
      <c r="Q25" s="465">
        <v>14.904746355632629</v>
      </c>
      <c r="R25" s="465">
        <v>14.969792557250139</v>
      </c>
    </row>
    <row r="26" spans="2:18" ht="13.5" customHeight="1">
      <c r="B26" s="464" t="s">
        <v>979</v>
      </c>
      <c r="C26" s="464" t="s">
        <v>979</v>
      </c>
      <c r="D26" s="465">
        <v>13.111695149348821</v>
      </c>
      <c r="E26" s="465">
        <v>14.822504890311341</v>
      </c>
      <c r="F26" s="465">
        <v>15.264697528583691</v>
      </c>
      <c r="G26" s="465">
        <v>15.504445135614214</v>
      </c>
      <c r="H26" s="465">
        <v>13.611531771279415</v>
      </c>
      <c r="I26" s="465">
        <v>9.6571671565311838</v>
      </c>
      <c r="J26" s="465">
        <v>7.2393658352923866</v>
      </c>
      <c r="K26" s="465">
        <v>8.0527169669605669</v>
      </c>
      <c r="L26" s="465">
        <v>8.2658120384015668</v>
      </c>
      <c r="M26" s="465">
        <v>8.149940528950653</v>
      </c>
      <c r="N26" s="465">
        <v>8.2404060905560979</v>
      </c>
      <c r="O26" s="465">
        <v>8.3641425631845827</v>
      </c>
      <c r="P26" s="465">
        <v>8.4874417760386027</v>
      </c>
      <c r="Q26" s="465">
        <v>8.6317860048543675</v>
      </c>
      <c r="R26" s="465">
        <v>8.7744851451784598</v>
      </c>
    </row>
    <row r="27" spans="2:18" ht="13.5" customHeight="1">
      <c r="B27" s="464" t="s">
        <v>980</v>
      </c>
      <c r="C27" s="464" t="s">
        <v>980</v>
      </c>
      <c r="D27" s="465">
        <v>23.742076303236427</v>
      </c>
      <c r="E27" s="465">
        <v>16.611006199470015</v>
      </c>
      <c r="F27" s="465">
        <v>17.008453073854909</v>
      </c>
      <c r="G27" s="465">
        <v>19.822408875434313</v>
      </c>
      <c r="H27" s="465">
        <v>21.42619090986458</v>
      </c>
      <c r="I27" s="465">
        <v>19.678944709691653</v>
      </c>
      <c r="J27" s="465">
        <v>17.509073944255853</v>
      </c>
      <c r="K27" s="465">
        <v>17.103603071722645</v>
      </c>
      <c r="L27" s="465">
        <v>21.783949743827836</v>
      </c>
      <c r="M27" s="465">
        <v>20.020378447994602</v>
      </c>
      <c r="N27" s="465">
        <v>19.654346228075386</v>
      </c>
      <c r="O27" s="465">
        <v>19.586642506320427</v>
      </c>
      <c r="P27" s="465">
        <v>19.321493834179346</v>
      </c>
      <c r="Q27" s="465">
        <v>19.333995036880331</v>
      </c>
      <c r="R27" s="465">
        <v>19.091691863420664</v>
      </c>
    </row>
    <row r="28" spans="2:18" ht="13.5" customHeight="1">
      <c r="B28" s="464" t="s">
        <v>981</v>
      </c>
      <c r="C28" s="464" t="s">
        <v>981</v>
      </c>
      <c r="D28" s="465">
        <v>65.79773255590132</v>
      </c>
      <c r="E28" s="465">
        <v>58.910658666747793</v>
      </c>
      <c r="F28" s="465">
        <v>55.043773341128542</v>
      </c>
      <c r="G28" s="465">
        <v>54.046506974304918</v>
      </c>
      <c r="H28" s="465">
        <v>58.552954181569149</v>
      </c>
      <c r="I28" s="465">
        <v>55.50362278542562</v>
      </c>
      <c r="J28" s="465">
        <v>55.120415843234483</v>
      </c>
      <c r="K28" s="465">
        <v>54.638623936006226</v>
      </c>
      <c r="L28" s="465">
        <v>52.242831874946695</v>
      </c>
      <c r="M28" s="465">
        <v>57.711861172431533</v>
      </c>
      <c r="N28" s="465">
        <v>54.729920982001047</v>
      </c>
      <c r="O28" s="465">
        <v>53.338891899249205</v>
      </c>
      <c r="P28" s="465">
        <v>51.281305486204623</v>
      </c>
      <c r="Q28" s="465">
        <v>49.405435232394829</v>
      </c>
      <c r="R28" s="465">
        <v>48.531246032125075</v>
      </c>
    </row>
    <row r="29" spans="2:18" ht="13.5" customHeight="1">
      <c r="B29" s="464" t="s">
        <v>982</v>
      </c>
      <c r="C29" s="464" t="s">
        <v>982</v>
      </c>
      <c r="D29" s="465">
        <v>22.61649977932252</v>
      </c>
      <c r="E29" s="465">
        <v>19.175164744645798</v>
      </c>
      <c r="F29" s="465">
        <v>19.399520134881008</v>
      </c>
      <c r="G29" s="465">
        <v>21.917487083901474</v>
      </c>
      <c r="H29" s="465">
        <v>21.025567879754483</v>
      </c>
      <c r="I29" s="465">
        <v>20.791585615242656</v>
      </c>
      <c r="J29" s="465">
        <v>16.027752351097181</v>
      </c>
      <c r="K29" s="465" t="s">
        <v>145</v>
      </c>
      <c r="L29" s="465" t="s">
        <v>145</v>
      </c>
      <c r="M29" s="465" t="s">
        <v>145</v>
      </c>
      <c r="N29" s="465" t="s">
        <v>145</v>
      </c>
      <c r="O29" s="465" t="s">
        <v>145</v>
      </c>
      <c r="P29" s="465" t="s">
        <v>145</v>
      </c>
      <c r="Q29" s="465" t="s">
        <v>145</v>
      </c>
      <c r="R29" s="465" t="s">
        <v>145</v>
      </c>
    </row>
    <row r="30" spans="2:18" ht="13.5" customHeight="1">
      <c r="B30" s="464" t="s">
        <v>984</v>
      </c>
      <c r="C30" s="464" t="s">
        <v>984</v>
      </c>
      <c r="D30" s="465">
        <v>23.328529532330506</v>
      </c>
      <c r="E30" s="465">
        <v>22.162299936296723</v>
      </c>
      <c r="F30" s="465">
        <v>20.254802324083357</v>
      </c>
      <c r="G30" s="465">
        <v>19.631230744472457</v>
      </c>
      <c r="H30" s="465">
        <v>20.155274666815632</v>
      </c>
      <c r="I30" s="465">
        <v>21.56685427350936</v>
      </c>
      <c r="J30" s="465">
        <v>20.159943582510579</v>
      </c>
      <c r="K30" s="465">
        <v>18.610082232627484</v>
      </c>
      <c r="L30" s="465">
        <v>18.970307306183258</v>
      </c>
      <c r="M30" s="465">
        <v>16.785298924916667</v>
      </c>
      <c r="N30" s="465">
        <v>15.88672501721623</v>
      </c>
      <c r="O30" s="465">
        <v>15.525837374947837</v>
      </c>
      <c r="P30" s="465">
        <v>15.479934991716988</v>
      </c>
      <c r="Q30" s="465">
        <v>15.523787304621713</v>
      </c>
      <c r="R30" s="465">
        <v>15.552005064872235</v>
      </c>
    </row>
    <row r="31" spans="2:18" ht="13.5" customHeight="1">
      <c r="B31" s="464" t="s">
        <v>120</v>
      </c>
      <c r="C31" s="464" t="s">
        <v>120</v>
      </c>
      <c r="D31" s="465">
        <v>23.421809740565777</v>
      </c>
      <c r="E31" s="465">
        <v>23.500956145912429</v>
      </c>
      <c r="F31" s="465">
        <v>24.586975932279639</v>
      </c>
      <c r="G31" s="465">
        <v>24.64244162162694</v>
      </c>
      <c r="H31" s="465">
        <v>23.464208346018562</v>
      </c>
      <c r="I31" s="465">
        <v>23.633053372381056</v>
      </c>
      <c r="J31" s="465">
        <v>24.150868875258531</v>
      </c>
      <c r="K31" s="465">
        <v>23.725209085071647</v>
      </c>
      <c r="L31" s="465">
        <v>25.795667858372262</v>
      </c>
      <c r="M31" s="465">
        <v>23.910065962312693</v>
      </c>
      <c r="N31" s="465">
        <v>23.895961599620161</v>
      </c>
      <c r="O31" s="465">
        <v>23.859232222397264</v>
      </c>
      <c r="P31" s="465">
        <v>23.967550127862726</v>
      </c>
      <c r="Q31" s="465">
        <v>24.100131889564221</v>
      </c>
      <c r="R31" s="465">
        <v>24.210611180449884</v>
      </c>
    </row>
    <row r="32" spans="2:18" ht="13.5" customHeight="1">
      <c r="B32" s="464" t="s">
        <v>985</v>
      </c>
      <c r="C32" s="464" t="s">
        <v>985</v>
      </c>
      <c r="D32" s="465">
        <v>25.897029718788882</v>
      </c>
      <c r="E32" s="465">
        <v>23.89895678038463</v>
      </c>
      <c r="F32" s="465">
        <v>24.125112291626493</v>
      </c>
      <c r="G32" s="465">
        <v>24.578007563789555</v>
      </c>
      <c r="H32" s="465">
        <v>24.243203649150754</v>
      </c>
      <c r="I32" s="465">
        <v>23.811126713533078</v>
      </c>
      <c r="J32" s="465">
        <v>26.999461836933524</v>
      </c>
      <c r="K32" s="465">
        <v>25.108089713849818</v>
      </c>
      <c r="L32" s="465">
        <v>25.933406709216722</v>
      </c>
      <c r="M32" s="465">
        <v>26.946477185062051</v>
      </c>
      <c r="N32" s="465">
        <v>26.747657858852282</v>
      </c>
      <c r="O32" s="465">
        <v>26.498386336350876</v>
      </c>
      <c r="P32" s="465">
        <v>26.50180419740008</v>
      </c>
      <c r="Q32" s="465">
        <v>26.580730568576993</v>
      </c>
      <c r="R32" s="465">
        <v>26.485266923677187</v>
      </c>
    </row>
    <row r="33" spans="2:18" ht="13.5" customHeight="1">
      <c r="B33" s="464" t="s">
        <v>986</v>
      </c>
      <c r="C33" s="464" t="s">
        <v>986</v>
      </c>
      <c r="D33" s="465">
        <v>39.838475990614945</v>
      </c>
      <c r="E33" s="465">
        <v>31.069438392201199</v>
      </c>
      <c r="F33" s="465">
        <v>24.996317924398216</v>
      </c>
      <c r="G33" s="465">
        <v>28.969260986749894</v>
      </c>
      <c r="H33" s="465">
        <v>31.601661885467585</v>
      </c>
      <c r="I33" s="465">
        <v>33.948525983674713</v>
      </c>
      <c r="J33" s="465">
        <v>29.621097595414909</v>
      </c>
      <c r="K33" s="465">
        <v>32.999196264796609</v>
      </c>
      <c r="L33" s="465">
        <v>35.364486702019079</v>
      </c>
      <c r="M33" s="465">
        <v>32.443207778332756</v>
      </c>
      <c r="N33" s="465">
        <v>31.753868732162172</v>
      </c>
      <c r="O33" s="465">
        <v>30.997121669841842</v>
      </c>
      <c r="P33" s="465">
        <v>30.185240901881894</v>
      </c>
      <c r="Q33" s="465">
        <v>29.324323952799382</v>
      </c>
      <c r="R33" s="465">
        <v>28.42395163233379</v>
      </c>
    </row>
    <row r="34" spans="2:18" ht="15" customHeight="1">
      <c r="B34" s="464" t="s">
        <v>987</v>
      </c>
      <c r="C34" s="464" t="s">
        <v>987</v>
      </c>
      <c r="D34" s="465">
        <v>13.543262328726263</v>
      </c>
      <c r="E34" s="465">
        <v>12.898461040439296</v>
      </c>
      <c r="F34" s="465">
        <v>13.788752462983325</v>
      </c>
      <c r="G34" s="465">
        <v>13.956673871627451</v>
      </c>
      <c r="H34" s="465">
        <v>13.434535661183352</v>
      </c>
      <c r="I34" s="465">
        <v>11.264618998305441</v>
      </c>
      <c r="J34" s="465">
        <v>13.264829084663532</v>
      </c>
      <c r="K34" s="465">
        <v>12.426142137051697</v>
      </c>
      <c r="L34" s="465">
        <v>12.063820040256919</v>
      </c>
      <c r="M34" s="465">
        <v>12.247533830610095</v>
      </c>
      <c r="N34" s="465">
        <v>12.528994020409778</v>
      </c>
      <c r="O34" s="465">
        <v>12.525216639286402</v>
      </c>
      <c r="P34" s="465">
        <v>12.53097581200349</v>
      </c>
      <c r="Q34" s="465">
        <v>12.514030357268208</v>
      </c>
      <c r="R34" s="465">
        <v>12.515731536282482</v>
      </c>
    </row>
    <row r="35" spans="2:18" ht="13.5" customHeight="1">
      <c r="B35" s="464" t="s">
        <v>988</v>
      </c>
      <c r="C35" s="464" t="s">
        <v>988</v>
      </c>
      <c r="D35" s="465">
        <v>22.326454470419691</v>
      </c>
      <c r="E35" s="465">
        <v>20.20191153240842</v>
      </c>
      <c r="F35" s="465">
        <v>18.7044048211548</v>
      </c>
      <c r="G35" s="465">
        <v>18.174384719808476</v>
      </c>
      <c r="H35" s="465">
        <v>19.286985526186516</v>
      </c>
      <c r="I35" s="465">
        <v>19.792731630926045</v>
      </c>
      <c r="J35" s="465">
        <v>17.842001024953365</v>
      </c>
      <c r="K35" s="465">
        <v>21.002913853500182</v>
      </c>
      <c r="L35" s="465">
        <v>21.767849769021982</v>
      </c>
      <c r="M35" s="465">
        <v>21.522473792514056</v>
      </c>
      <c r="N35" s="465">
        <v>21.514442623066223</v>
      </c>
      <c r="O35" s="465">
        <v>21.466349063415681</v>
      </c>
      <c r="P35" s="465">
        <v>21.424372930504436</v>
      </c>
      <c r="Q35" s="465">
        <v>21.417995423539328</v>
      </c>
      <c r="R35" s="465">
        <v>21.422829990255451</v>
      </c>
    </row>
    <row r="36" spans="2:18" ht="13.5" customHeight="1">
      <c r="B36" s="464" t="s">
        <v>989</v>
      </c>
      <c r="C36" s="464" t="s">
        <v>989</v>
      </c>
      <c r="D36" s="465">
        <v>18.133500107844139</v>
      </c>
      <c r="E36" s="465">
        <v>18.512739702180532</v>
      </c>
      <c r="F36" s="465">
        <v>18.267023353891606</v>
      </c>
      <c r="G36" s="465">
        <v>18.705840027672263</v>
      </c>
      <c r="H36" s="465">
        <v>19.42976563960837</v>
      </c>
      <c r="I36" s="465">
        <v>20.217155813451409</v>
      </c>
      <c r="J36" s="465">
        <v>20.380931687159872</v>
      </c>
      <c r="K36" s="465">
        <v>20.968637134635685</v>
      </c>
      <c r="L36" s="465">
        <v>21.577685504341794</v>
      </c>
      <c r="M36" s="465">
        <v>21.392921816538308</v>
      </c>
      <c r="N36" s="465">
        <v>21.497342727760362</v>
      </c>
      <c r="O36" s="465">
        <v>21.896583803169932</v>
      </c>
      <c r="P36" s="465">
        <v>22.43117133763926</v>
      </c>
      <c r="Q36" s="465">
        <v>22.886082946505216</v>
      </c>
      <c r="R36" s="465">
        <v>23.289699548512854</v>
      </c>
    </row>
    <row r="37" spans="2:18" ht="13.5" customHeight="1">
      <c r="B37" s="464" t="s">
        <v>426</v>
      </c>
      <c r="C37" s="464" t="s">
        <v>426</v>
      </c>
      <c r="D37" s="465">
        <v>39.23876378280162</v>
      </c>
      <c r="E37" s="465">
        <v>39.136669790431938</v>
      </c>
      <c r="F37" s="465">
        <v>38.935899640671138</v>
      </c>
      <c r="G37" s="465">
        <v>39.925932799877344</v>
      </c>
      <c r="H37" s="465">
        <v>41.194607211405184</v>
      </c>
      <c r="I37" s="465">
        <v>41.119570539863851</v>
      </c>
      <c r="J37" s="465">
        <v>41.323896821093264</v>
      </c>
      <c r="K37" s="465">
        <v>42.302103986455521</v>
      </c>
      <c r="L37" s="465">
        <v>40.998963251834489</v>
      </c>
      <c r="M37" s="465">
        <v>41.821914543910196</v>
      </c>
      <c r="N37" s="465">
        <v>42.096786455721386</v>
      </c>
      <c r="O37" s="465">
        <v>42.035458130603146</v>
      </c>
      <c r="P37" s="465">
        <v>41.832627241864856</v>
      </c>
      <c r="Q37" s="465">
        <v>41.4488353031361</v>
      </c>
      <c r="R37" s="465">
        <v>41.608208544923578</v>
      </c>
    </row>
    <row r="38" spans="2:18" ht="13.5" customHeight="1">
      <c r="B38" s="464" t="s">
        <v>990</v>
      </c>
      <c r="C38" s="464" t="s">
        <v>990</v>
      </c>
      <c r="D38" s="465">
        <v>47.717428293596278</v>
      </c>
      <c r="E38" s="465">
        <v>60.215258897282297</v>
      </c>
      <c r="F38" s="465">
        <v>35.24337477436579</v>
      </c>
      <c r="G38" s="465">
        <v>32.099782858046801</v>
      </c>
      <c r="H38" s="465">
        <v>34.754581977092172</v>
      </c>
      <c r="I38" s="465">
        <v>37.308182791199037</v>
      </c>
      <c r="J38" s="465">
        <v>35.971499097781589</v>
      </c>
      <c r="K38" s="465">
        <v>33.679118477685563</v>
      </c>
      <c r="L38" s="465">
        <v>39.626062697059119</v>
      </c>
      <c r="M38" s="465">
        <v>41.808434092175069</v>
      </c>
      <c r="N38" s="465">
        <v>37.749592232236608</v>
      </c>
      <c r="O38" s="465">
        <v>36.075113849072807</v>
      </c>
      <c r="P38" s="465">
        <v>35.700393758102841</v>
      </c>
      <c r="Q38" s="465">
        <v>36.123475995949825</v>
      </c>
      <c r="R38" s="465">
        <v>36.187756155997128</v>
      </c>
    </row>
    <row r="39" spans="2:18" ht="13.5" customHeight="1">
      <c r="B39" s="464" t="s">
        <v>445</v>
      </c>
      <c r="C39" s="464" t="s">
        <v>445</v>
      </c>
      <c r="D39" s="465">
        <v>31.772283168419307</v>
      </c>
      <c r="E39" s="465">
        <v>32.816238465594246</v>
      </c>
      <c r="F39" s="465">
        <v>29.31640487307417</v>
      </c>
      <c r="G39" s="465">
        <v>28.162500100819649</v>
      </c>
      <c r="H39" s="465">
        <v>28.989969670482079</v>
      </c>
      <c r="I39" s="465">
        <v>28.753925166895939</v>
      </c>
      <c r="J39" s="465">
        <v>28.61844157256343</v>
      </c>
      <c r="K39" s="465">
        <v>30.463138376514141</v>
      </c>
      <c r="L39" s="465">
        <v>30.985123100435523</v>
      </c>
      <c r="M39" s="465">
        <v>30.633110898499133</v>
      </c>
      <c r="N39" s="465">
        <v>30.626463617403637</v>
      </c>
      <c r="O39" s="465">
        <v>30.833233471457731</v>
      </c>
      <c r="P39" s="465">
        <v>31.181125883937007</v>
      </c>
      <c r="Q39" s="465">
        <v>30.942285968403176</v>
      </c>
      <c r="R39" s="465">
        <v>30.8504740516662</v>
      </c>
    </row>
    <row r="40" spans="2:18" ht="13.5" customHeight="1">
      <c r="B40" s="464" t="s">
        <v>116</v>
      </c>
      <c r="C40" s="464" t="s">
        <v>116</v>
      </c>
      <c r="D40" s="465">
        <v>33.868252275400614</v>
      </c>
      <c r="E40" s="465">
        <v>31.887011760022943</v>
      </c>
      <c r="F40" s="465">
        <v>32.916122084514477</v>
      </c>
      <c r="G40" s="465">
        <v>33.36122889359136</v>
      </c>
      <c r="H40" s="465">
        <v>35.54428512886588</v>
      </c>
      <c r="I40" s="465">
        <v>35.681878807981057</v>
      </c>
      <c r="J40" s="465">
        <v>35.163793628937597</v>
      </c>
      <c r="K40" s="465">
        <v>35.565558743025164</v>
      </c>
      <c r="L40" s="465">
        <v>34.31177088717056</v>
      </c>
      <c r="M40" s="465">
        <v>31.197913953564559</v>
      </c>
      <c r="N40" s="465">
        <v>32.28256571604075</v>
      </c>
      <c r="O40" s="465">
        <v>32.293827684375188</v>
      </c>
      <c r="P40" s="465">
        <v>32.487387522975396</v>
      </c>
      <c r="Q40" s="465">
        <v>32.571471193479681</v>
      </c>
      <c r="R40" s="465">
        <v>32.680170100323799</v>
      </c>
    </row>
    <row r="41" spans="2:18" ht="13.5" customHeight="1">
      <c r="B41" s="464" t="s">
        <v>123</v>
      </c>
      <c r="C41" s="464" t="s">
        <v>123</v>
      </c>
      <c r="D41" s="465">
        <v>36.181699342312825</v>
      </c>
      <c r="E41" s="465">
        <v>24.404596888034899</v>
      </c>
      <c r="F41" s="465">
        <v>20.798775441844999</v>
      </c>
      <c r="G41" s="465">
        <v>23.179668726542939</v>
      </c>
      <c r="H41" s="465">
        <v>28.525912301960915</v>
      </c>
      <c r="I41" s="465">
        <v>29.473990498057002</v>
      </c>
      <c r="J41" s="465">
        <v>28.387700098120227</v>
      </c>
      <c r="K41" s="465">
        <v>29.641612207793322</v>
      </c>
      <c r="L41" s="465">
        <v>30.569852722556874</v>
      </c>
      <c r="M41" s="465">
        <v>28.505858404948658</v>
      </c>
      <c r="N41" s="465">
        <v>28.662333521359212</v>
      </c>
      <c r="O41" s="465">
        <v>28.837759944876606</v>
      </c>
      <c r="P41" s="465">
        <v>29.065220132553261</v>
      </c>
      <c r="Q41" s="465">
        <v>29.018849246503365</v>
      </c>
      <c r="R41" s="465">
        <v>28.216580651912121</v>
      </c>
    </row>
    <row r="42" spans="2:18" ht="13.5" customHeight="1">
      <c r="B42" s="464" t="s">
        <v>124</v>
      </c>
      <c r="C42" s="464" t="s">
        <v>124</v>
      </c>
      <c r="D42" s="465">
        <v>25.39678642159544</v>
      </c>
      <c r="E42" s="465">
        <v>25.790096386553273</v>
      </c>
      <c r="F42" s="465">
        <v>26.183573979079977</v>
      </c>
      <c r="G42" s="465">
        <v>25.844125319429693</v>
      </c>
      <c r="H42" s="465">
        <v>26.492044877080211</v>
      </c>
      <c r="I42" s="465">
        <v>26.752766080626472</v>
      </c>
      <c r="J42" s="465">
        <v>25.011441445218896</v>
      </c>
      <c r="K42" s="465">
        <v>27.121902658975856</v>
      </c>
      <c r="L42" s="465">
        <v>27.700095508392451</v>
      </c>
      <c r="M42" s="465">
        <v>27.541877094578155</v>
      </c>
      <c r="N42" s="465">
        <v>27.236823953035959</v>
      </c>
      <c r="O42" s="465">
        <v>27.243419734866354</v>
      </c>
      <c r="P42" s="465">
        <v>27.268278327918761</v>
      </c>
      <c r="Q42" s="465">
        <v>27.269150845353675</v>
      </c>
      <c r="R42" s="465">
        <v>27.26796011655442</v>
      </c>
    </row>
    <row r="43" spans="2:18" ht="13.5" customHeight="1">
      <c r="B43" s="464" t="s">
        <v>991</v>
      </c>
      <c r="C43" s="464" t="s">
        <v>991</v>
      </c>
      <c r="D43" s="465">
        <v>11.179449838668244</v>
      </c>
      <c r="E43" s="465">
        <v>12.629840424304097</v>
      </c>
      <c r="F43" s="465">
        <v>13.217516870010037</v>
      </c>
      <c r="G43" s="465">
        <v>12.785995778643681</v>
      </c>
      <c r="H43" s="465">
        <v>12.587723475100923</v>
      </c>
      <c r="I43" s="465">
        <v>11.933952904927706</v>
      </c>
      <c r="J43" s="465">
        <v>8.6697782087217146</v>
      </c>
      <c r="K43" s="465">
        <v>8.2767221758135054</v>
      </c>
      <c r="L43" s="465">
        <v>8.4944189277736353</v>
      </c>
      <c r="M43" s="465" t="s">
        <v>145</v>
      </c>
      <c r="N43" s="465" t="s">
        <v>145</v>
      </c>
      <c r="O43" s="465" t="s">
        <v>145</v>
      </c>
      <c r="P43" s="465" t="s">
        <v>145</v>
      </c>
      <c r="Q43" s="465" t="s">
        <v>145</v>
      </c>
      <c r="R43" s="465" t="s">
        <v>145</v>
      </c>
    </row>
    <row r="44" spans="2:18" ht="13.5" customHeight="1">
      <c r="B44" s="464" t="s">
        <v>992</v>
      </c>
      <c r="C44" s="464" t="s">
        <v>992</v>
      </c>
      <c r="D44" s="465">
        <v>21.385089012238939</v>
      </c>
      <c r="E44" s="465">
        <v>22.314582965352027</v>
      </c>
      <c r="F44" s="465">
        <v>21.919175188485639</v>
      </c>
      <c r="G44" s="465">
        <v>21.096768393094695</v>
      </c>
      <c r="H44" s="465">
        <v>21.416270511256052</v>
      </c>
      <c r="I44" s="465">
        <v>21.007659059408578</v>
      </c>
      <c r="J44" s="465">
        <v>20.632841700017647</v>
      </c>
      <c r="K44" s="465">
        <v>20.23328576802955</v>
      </c>
      <c r="L44" s="465">
        <v>20.058207597085197</v>
      </c>
      <c r="M44" s="465">
        <v>20.420585121603672</v>
      </c>
      <c r="N44" s="465">
        <v>20.528252735370817</v>
      </c>
      <c r="O44" s="465">
        <v>20.528252735370835</v>
      </c>
      <c r="P44" s="465">
        <v>20.52825273537082</v>
      </c>
      <c r="Q44" s="465">
        <v>20.528252735370849</v>
      </c>
      <c r="R44" s="465">
        <v>20.528252735370835</v>
      </c>
    </row>
    <row r="45" spans="2:18">
      <c r="B45" s="464" t="s">
        <v>993</v>
      </c>
      <c r="C45" s="464" t="s">
        <v>993</v>
      </c>
      <c r="D45" s="465">
        <v>31.64162061514844</v>
      </c>
      <c r="E45" s="465">
        <v>31.937287126050535</v>
      </c>
      <c r="F45" s="465">
        <v>32.505222721133528</v>
      </c>
      <c r="G45" s="465">
        <v>31.162849841359119</v>
      </c>
      <c r="H45" s="465">
        <v>30.822970735070555</v>
      </c>
      <c r="I45" s="465">
        <v>30.960521606060944</v>
      </c>
      <c r="J45" s="465">
        <v>28.854371390761496</v>
      </c>
      <c r="K45" s="465">
        <v>27.249957314605812</v>
      </c>
      <c r="L45" s="465">
        <v>26.406416008705001</v>
      </c>
      <c r="M45" s="465">
        <v>27.627310118894194</v>
      </c>
      <c r="N45" s="465">
        <v>27.905923557041255</v>
      </c>
      <c r="O45" s="465">
        <v>28.042632001753852</v>
      </c>
      <c r="P45" s="465">
        <v>28.043922542843724</v>
      </c>
      <c r="Q45" s="465">
        <v>28.004643971253351</v>
      </c>
      <c r="R45" s="465">
        <v>28.271889530663895</v>
      </c>
    </row>
    <row r="46" spans="2:18">
      <c r="B46" s="464" t="s">
        <v>994</v>
      </c>
      <c r="C46" s="464" t="s">
        <v>994</v>
      </c>
      <c r="D46" s="465">
        <v>40.313914850770203</v>
      </c>
      <c r="E46" s="465">
        <v>41.883672706979077</v>
      </c>
      <c r="F46" s="465">
        <v>38.326042055157963</v>
      </c>
      <c r="G46" s="465">
        <v>39.291271816260917</v>
      </c>
      <c r="H46" s="465">
        <v>39.79779005979325</v>
      </c>
      <c r="I46" s="465">
        <v>39.420762402009402</v>
      </c>
      <c r="J46" s="465">
        <v>39.682155503685436</v>
      </c>
      <c r="K46" s="465">
        <v>36.31566566852414</v>
      </c>
      <c r="L46" s="465">
        <v>53.238352807267951</v>
      </c>
      <c r="M46" s="465">
        <v>47.283887404054717</v>
      </c>
      <c r="N46" s="465" t="s">
        <v>145</v>
      </c>
      <c r="O46" s="465" t="s">
        <v>145</v>
      </c>
      <c r="P46" s="465" t="s">
        <v>145</v>
      </c>
      <c r="Q46" s="465" t="s">
        <v>145</v>
      </c>
      <c r="R46" s="465" t="s">
        <v>145</v>
      </c>
    </row>
    <row r="47" spans="2:18">
      <c r="B47" s="464" t="s">
        <v>995</v>
      </c>
      <c r="C47" s="464" t="s">
        <v>995</v>
      </c>
      <c r="D47" s="465">
        <v>34.181077053230467</v>
      </c>
      <c r="E47" s="465">
        <v>20.683428480318593</v>
      </c>
      <c r="F47" s="465">
        <v>29.723340145889289</v>
      </c>
      <c r="G47" s="465">
        <v>27.971797992788179</v>
      </c>
      <c r="H47" s="465">
        <v>30.461213368726405</v>
      </c>
      <c r="I47" s="465">
        <v>31.039139063872128</v>
      </c>
      <c r="J47" s="465">
        <v>28.662458289798899</v>
      </c>
      <c r="K47" s="465">
        <v>30.434285828639183</v>
      </c>
      <c r="L47" s="465">
        <v>35.400965373855279</v>
      </c>
      <c r="M47" s="465">
        <v>32.952416997094822</v>
      </c>
      <c r="N47" s="465">
        <v>32.024525917144949</v>
      </c>
      <c r="O47" s="465">
        <v>31.177667829215132</v>
      </c>
      <c r="P47" s="465">
        <v>30.664465461934835</v>
      </c>
      <c r="Q47" s="465">
        <v>30.337231489265399</v>
      </c>
      <c r="R47" s="465">
        <v>30.123026096373017</v>
      </c>
    </row>
    <row r="48" spans="2:18" ht="16.5" customHeight="1">
      <c r="B48" s="464" t="s">
        <v>1018</v>
      </c>
      <c r="C48" s="464" t="s">
        <v>997</v>
      </c>
      <c r="D48" s="465">
        <v>26.60892478016212</v>
      </c>
      <c r="E48" s="465">
        <v>26.607098380958831</v>
      </c>
      <c r="F48" s="465">
        <v>27.101678760261315</v>
      </c>
      <c r="G48" s="465">
        <v>27.544292452641827</v>
      </c>
      <c r="H48" s="465">
        <v>28.820392808707691</v>
      </c>
      <c r="I48" s="465">
        <v>28.31232924329105</v>
      </c>
      <c r="J48" s="465">
        <v>28.12441869653685</v>
      </c>
      <c r="K48" s="465">
        <v>28.222475361082989</v>
      </c>
      <c r="L48" s="465">
        <v>26.919936984041698</v>
      </c>
      <c r="M48" s="465">
        <v>26.688019062058586</v>
      </c>
      <c r="N48" s="465">
        <v>26.648212774444975</v>
      </c>
      <c r="O48" s="465">
        <v>26.672911485406694</v>
      </c>
      <c r="P48" s="465">
        <v>26.749747364118175</v>
      </c>
      <c r="Q48" s="465">
        <v>26.747527360291933</v>
      </c>
      <c r="R48" s="465">
        <v>26.757158630816736</v>
      </c>
    </row>
    <row r="49" spans="2:18">
      <c r="B49" s="466" t="s">
        <v>998</v>
      </c>
      <c r="C49" s="466" t="s">
        <v>998</v>
      </c>
      <c r="D49" s="467">
        <v>21.798190726704579</v>
      </c>
      <c r="E49" s="467">
        <v>14.885026104983329</v>
      </c>
      <c r="F49" s="467">
        <v>11.223226069267827</v>
      </c>
      <c r="G49" s="467">
        <v>8.4930866877463185</v>
      </c>
      <c r="H49" s="467">
        <v>6.3943447416651544</v>
      </c>
      <c r="I49" s="467">
        <v>8.7198898176947228</v>
      </c>
      <c r="J49" s="467">
        <v>4.297626527862322</v>
      </c>
      <c r="K49" s="467">
        <v>5.9421078249969801</v>
      </c>
      <c r="L49" s="467">
        <v>5.9636408818305773</v>
      </c>
      <c r="M49" s="467" t="s">
        <v>145</v>
      </c>
      <c r="N49" s="467" t="s">
        <v>145</v>
      </c>
      <c r="O49" s="467" t="s">
        <v>145</v>
      </c>
      <c r="P49" s="467" t="s">
        <v>145</v>
      </c>
      <c r="Q49" s="467" t="s">
        <v>145</v>
      </c>
      <c r="R49" s="467" t="s">
        <v>145</v>
      </c>
    </row>
    <row r="50" spans="2:18" ht="6" customHeight="1">
      <c r="B50" s="464"/>
      <c r="C50" s="464"/>
      <c r="D50" s="465"/>
      <c r="E50" s="465"/>
      <c r="F50" s="465"/>
      <c r="G50" s="465"/>
      <c r="H50" s="465"/>
      <c r="I50" s="465"/>
      <c r="J50" s="465"/>
      <c r="K50" s="465"/>
      <c r="L50" s="465"/>
      <c r="M50" s="465"/>
      <c r="N50" s="465"/>
      <c r="O50" s="465"/>
      <c r="P50" s="465"/>
      <c r="Q50" s="465"/>
      <c r="R50" s="465"/>
    </row>
    <row r="51" spans="2:18" ht="12" customHeight="1">
      <c r="B51" s="613" t="s">
        <v>927</v>
      </c>
      <c r="C51" s="613"/>
      <c r="D51" s="613"/>
      <c r="E51" s="613"/>
      <c r="F51" s="613"/>
      <c r="G51" s="613"/>
      <c r="H51" s="613"/>
      <c r="I51" s="613"/>
      <c r="J51" s="613"/>
      <c r="K51" s="613"/>
      <c r="L51" s="613"/>
      <c r="M51" s="613"/>
      <c r="N51" s="613"/>
      <c r="O51" s="613"/>
      <c r="P51" s="613"/>
      <c r="Q51" s="468"/>
      <c r="R51" s="468"/>
    </row>
    <row r="52" spans="2:18" ht="15" customHeight="1">
      <c r="B52" s="613" t="s">
        <v>999</v>
      </c>
      <c r="C52" s="613"/>
      <c r="D52" s="613"/>
      <c r="E52" s="613"/>
      <c r="F52" s="613"/>
      <c r="G52" s="613"/>
      <c r="H52" s="613"/>
      <c r="I52" s="613"/>
      <c r="J52" s="613"/>
      <c r="K52" s="613"/>
      <c r="L52" s="613"/>
      <c r="M52" s="613"/>
      <c r="N52" s="613"/>
      <c r="O52" s="613"/>
      <c r="P52" s="613"/>
      <c r="Q52" s="613"/>
      <c r="R52" s="510"/>
    </row>
    <row r="53" spans="2:18" ht="15.75" customHeight="1">
      <c r="B53" s="618" t="s">
        <v>1019</v>
      </c>
      <c r="C53" s="618"/>
      <c r="D53" s="618"/>
      <c r="E53" s="618"/>
      <c r="F53" s="618"/>
      <c r="G53" s="618"/>
      <c r="H53" s="618"/>
      <c r="I53" s="618"/>
      <c r="J53" s="618"/>
      <c r="K53" s="618"/>
      <c r="L53" s="618"/>
      <c r="M53" s="618"/>
      <c r="N53" s="618"/>
      <c r="O53" s="618"/>
      <c r="P53" s="618"/>
      <c r="Q53" s="618"/>
      <c r="R53" s="618"/>
    </row>
    <row r="54" spans="2:18" ht="98.25" customHeight="1">
      <c r="B54" s="618" t="s">
        <v>1020</v>
      </c>
      <c r="C54" s="618"/>
      <c r="D54" s="618"/>
      <c r="E54" s="618"/>
      <c r="F54" s="618"/>
      <c r="G54" s="618"/>
      <c r="H54" s="618"/>
      <c r="I54" s="618"/>
      <c r="J54" s="618"/>
      <c r="K54" s="618"/>
      <c r="L54" s="618"/>
      <c r="M54" s="618"/>
      <c r="N54" s="618"/>
      <c r="O54" s="618"/>
      <c r="P54" s="618"/>
      <c r="Q54" s="618"/>
      <c r="R54" s="618"/>
    </row>
    <row r="55" spans="2:18" ht="103.5" customHeight="1">
      <c r="B55" s="464"/>
      <c r="C55" s="464"/>
      <c r="D55" s="469"/>
      <c r="E55" s="469"/>
      <c r="F55" s="469"/>
      <c r="G55" s="469"/>
      <c r="H55" s="469"/>
      <c r="I55" s="469"/>
      <c r="J55" s="469"/>
      <c r="K55" s="469"/>
      <c r="L55" s="469"/>
      <c r="M55" s="469"/>
      <c r="N55" s="469"/>
      <c r="O55" s="469"/>
      <c r="P55" s="469"/>
      <c r="Q55" s="469"/>
      <c r="R55" s="469"/>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sheetData>
  <mergeCells count="6">
    <mergeCell ref="B54:R54"/>
    <mergeCell ref="B2:N2"/>
    <mergeCell ref="B3:R3"/>
    <mergeCell ref="B51:P51"/>
    <mergeCell ref="B52:Q52"/>
    <mergeCell ref="B53:R53"/>
  </mergeCells>
  <conditionalFormatting sqref="B22">
    <cfRule type="expression" dxfId="28" priority="7">
      <formula>MOD(ROW(),2)=0</formula>
    </cfRule>
  </conditionalFormatting>
  <conditionalFormatting sqref="B11:R49">
    <cfRule type="expression" dxfId="27" priority="1">
      <formula>MOD(ROW(),2)=0</formula>
    </cfRule>
  </conditionalFormatting>
  <pageMargins left="0.7" right="0.7" top="0.75" bottom="0.75" header="0.3" footer="0.3"/>
  <pageSetup scale="1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0BB0-217A-4667-ABFA-3799CD9D58FC}">
  <sheetPr codeName="Sheet17">
    <pageSetUpPr fitToPage="1"/>
  </sheetPr>
  <dimension ref="A1:AH74"/>
  <sheetViews>
    <sheetView showGridLines="0" zoomScale="110" zoomScaleNormal="110" workbookViewId="0">
      <pane xSplit="3" ySplit="4" topLeftCell="G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17.5703125" style="451" customWidth="1"/>
    <col min="3" max="3" width="20.5703125" style="451" hidden="1" customWidth="1" outlineLevel="1"/>
    <col min="4" max="4" width="8.85546875" style="452" customWidth="1" collapsed="1"/>
    <col min="5" max="18" width="8.85546875" style="452" customWidth="1"/>
    <col min="19" max="19" width="5" style="496" customWidth="1"/>
    <col min="20" max="20" width="0" style="496" hidden="1" customWidth="1"/>
    <col min="21" max="34" width="9.140625" style="496"/>
    <col min="35" max="16384" width="9.140625" style="451"/>
  </cols>
  <sheetData>
    <row r="1" spans="2:21">
      <c r="U1" s="497"/>
    </row>
    <row r="2" spans="2:21">
      <c r="B2" s="616" t="str">
        <f>"Table A14. Emerging Market and Middle-Income Economies: General Government Expenditure, "&amp;D4&amp;"–"&amp;RIGHT(R4,2)</f>
        <v>Table A14. Emerging Market and Middle-Income Economies: General Government Expenditure, 2014–28</v>
      </c>
      <c r="C2" s="616"/>
      <c r="D2" s="616"/>
      <c r="E2" s="616"/>
      <c r="F2" s="616"/>
      <c r="G2" s="616"/>
      <c r="H2" s="616"/>
      <c r="I2" s="616"/>
      <c r="J2" s="616"/>
      <c r="K2" s="616"/>
      <c r="L2" s="616"/>
      <c r="M2" s="616"/>
      <c r="N2" s="616"/>
      <c r="O2" s="616"/>
      <c r="P2" s="616"/>
      <c r="Q2" s="616"/>
      <c r="R2" s="616"/>
      <c r="T2" s="490" t="s">
        <v>966</v>
      </c>
      <c r="U2" s="489"/>
    </row>
    <row r="3" spans="2:21">
      <c r="B3" s="619" t="s">
        <v>81</v>
      </c>
      <c r="C3" s="620"/>
      <c r="D3" s="620"/>
      <c r="E3" s="620"/>
      <c r="F3" s="620"/>
      <c r="G3" s="620"/>
      <c r="H3" s="620"/>
      <c r="I3" s="620"/>
      <c r="J3" s="620"/>
      <c r="K3" s="620"/>
      <c r="L3" s="620"/>
      <c r="M3" s="620"/>
      <c r="N3" s="620"/>
      <c r="O3" s="620"/>
      <c r="P3" s="620"/>
      <c r="Q3" s="620"/>
      <c r="R3" s="620"/>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196</v>
      </c>
      <c r="C5" s="491" t="s">
        <v>967</v>
      </c>
      <c r="D5" s="461">
        <v>30.665142057941146</v>
      </c>
      <c r="E5" s="461">
        <v>31.528760698265579</v>
      </c>
      <c r="F5" s="461">
        <v>31.617828972716659</v>
      </c>
      <c r="G5" s="461">
        <v>31.196450084414245</v>
      </c>
      <c r="H5" s="461">
        <v>31.446454197337829</v>
      </c>
      <c r="I5" s="461">
        <v>31.962420329781384</v>
      </c>
      <c r="J5" s="461">
        <v>34.442390194306519</v>
      </c>
      <c r="K5" s="461">
        <v>31.766967167025555</v>
      </c>
      <c r="L5" s="461">
        <v>31.812896220089954</v>
      </c>
      <c r="M5" s="461">
        <v>31.811622792456028</v>
      </c>
      <c r="N5" s="461">
        <v>31.379489049294651</v>
      </c>
      <c r="O5" s="461">
        <v>31.169236300781822</v>
      </c>
      <c r="P5" s="461">
        <v>31.017533011026423</v>
      </c>
      <c r="Q5" s="461">
        <v>30.938334033673378</v>
      </c>
      <c r="R5" s="461">
        <v>30.859306823987687</v>
      </c>
    </row>
    <row r="6" spans="2:21" ht="14.1" customHeight="1">
      <c r="B6" s="492" t="s">
        <v>108</v>
      </c>
      <c r="C6" s="491" t="s">
        <v>109</v>
      </c>
      <c r="D6" s="461">
        <v>27.346162426720255</v>
      </c>
      <c r="E6" s="461">
        <v>29.42033675318055</v>
      </c>
      <c r="F6" s="461">
        <v>29.838332052449335</v>
      </c>
      <c r="G6" s="461">
        <v>29.875621503906942</v>
      </c>
      <c r="H6" s="461">
        <v>30.548991041459391</v>
      </c>
      <c r="I6" s="461">
        <v>31.247149660559099</v>
      </c>
      <c r="J6" s="461">
        <v>33.259892963683392</v>
      </c>
      <c r="K6" s="461">
        <v>31.121041822622058</v>
      </c>
      <c r="L6" s="461">
        <v>31.178320039826502</v>
      </c>
      <c r="M6" s="461">
        <v>30.508748155055645</v>
      </c>
      <c r="N6" s="461">
        <v>30.259164756120988</v>
      </c>
      <c r="O6" s="461">
        <v>30.279907060969428</v>
      </c>
      <c r="P6" s="461">
        <v>30.31759996865425</v>
      </c>
      <c r="Q6" s="461">
        <v>30.374383184339457</v>
      </c>
      <c r="R6" s="461">
        <v>30.416680973562261</v>
      </c>
    </row>
    <row r="7" spans="2:21" ht="14.1" customHeight="1">
      <c r="B7" s="492" t="s">
        <v>113</v>
      </c>
      <c r="C7" s="491" t="s">
        <v>114</v>
      </c>
      <c r="D7" s="461">
        <v>35.784834321613928</v>
      </c>
      <c r="E7" s="461">
        <v>35.947072900528958</v>
      </c>
      <c r="F7" s="461">
        <v>36.453838339692027</v>
      </c>
      <c r="G7" s="461">
        <v>35.449432348374785</v>
      </c>
      <c r="H7" s="461">
        <v>34.718874753975335</v>
      </c>
      <c r="I7" s="461">
        <v>35.647137280748517</v>
      </c>
      <c r="J7" s="461">
        <v>39.74092505279949</v>
      </c>
      <c r="K7" s="461">
        <v>36.187616688012611</v>
      </c>
      <c r="L7" s="461">
        <v>36.86447776633937</v>
      </c>
      <c r="M7" s="461">
        <v>38.459851704655435</v>
      </c>
      <c r="N7" s="461">
        <v>37.083209532402066</v>
      </c>
      <c r="O7" s="461">
        <v>36.553249357915526</v>
      </c>
      <c r="P7" s="461">
        <v>36.153565989279784</v>
      </c>
      <c r="Q7" s="461">
        <v>35.880374486480584</v>
      </c>
      <c r="R7" s="461">
        <v>35.624862663036815</v>
      </c>
    </row>
    <row r="8" spans="2:21" ht="14.1" customHeight="1">
      <c r="B8" s="492" t="s">
        <v>117</v>
      </c>
      <c r="C8" s="491" t="s">
        <v>118</v>
      </c>
      <c r="D8" s="461">
        <v>33.703670542306703</v>
      </c>
      <c r="E8" s="461">
        <v>34.485190849978139</v>
      </c>
      <c r="F8" s="461">
        <v>34.672546073346339</v>
      </c>
      <c r="G8" s="461">
        <v>33.918672361190225</v>
      </c>
      <c r="H8" s="461">
        <v>33.616240788027575</v>
      </c>
      <c r="I8" s="461">
        <v>33.049088629919538</v>
      </c>
      <c r="J8" s="461">
        <v>36.097606771077153</v>
      </c>
      <c r="K8" s="461">
        <v>33.29037396179131</v>
      </c>
      <c r="L8" s="461">
        <v>34.231578840692485</v>
      </c>
      <c r="M8" s="461">
        <v>33.780823163104877</v>
      </c>
      <c r="N8" s="461">
        <v>33.075445442750343</v>
      </c>
      <c r="O8" s="461">
        <v>32.299657781635474</v>
      </c>
      <c r="P8" s="461">
        <v>31.877801475863286</v>
      </c>
      <c r="Q8" s="461">
        <v>31.690859916107716</v>
      </c>
      <c r="R8" s="461">
        <v>31.52549446973892</v>
      </c>
    </row>
    <row r="9" spans="2:21" ht="14.1" customHeight="1">
      <c r="B9" s="492" t="s">
        <v>121</v>
      </c>
      <c r="C9" s="491" t="s">
        <v>122</v>
      </c>
      <c r="D9" s="461">
        <v>34.223311353891717</v>
      </c>
      <c r="E9" s="461">
        <v>34.202082636412776</v>
      </c>
      <c r="F9" s="461">
        <v>32.820231598125304</v>
      </c>
      <c r="G9" s="461">
        <v>30.580651455382458</v>
      </c>
      <c r="H9" s="461">
        <v>31.403083812148211</v>
      </c>
      <c r="I9" s="461">
        <v>32.053328608325927</v>
      </c>
      <c r="J9" s="461">
        <v>35.384508316758136</v>
      </c>
      <c r="K9" s="461">
        <v>30.008328744296701</v>
      </c>
      <c r="L9" s="461">
        <v>27.647020467548199</v>
      </c>
      <c r="M9" s="461">
        <v>30.355819174360459</v>
      </c>
      <c r="N9" s="461">
        <v>30.414983312715638</v>
      </c>
      <c r="O9" s="461">
        <v>30.190087747765006</v>
      </c>
      <c r="P9" s="461">
        <v>29.739368206475895</v>
      </c>
      <c r="Q9" s="461">
        <v>29.358034535956556</v>
      </c>
      <c r="R9" s="461">
        <v>28.964008770963364</v>
      </c>
    </row>
    <row r="10" spans="2:21" ht="14.1" customHeight="1">
      <c r="B10" s="493" t="s">
        <v>968</v>
      </c>
      <c r="C10" s="491" t="s">
        <v>103</v>
      </c>
      <c r="D10" s="461">
        <v>30.760233053042128</v>
      </c>
      <c r="E10" s="461">
        <v>32.143584320850657</v>
      </c>
      <c r="F10" s="461">
        <v>32.485389201462873</v>
      </c>
      <c r="G10" s="461">
        <v>32.098997481106515</v>
      </c>
      <c r="H10" s="461">
        <v>32.245935558710237</v>
      </c>
      <c r="I10" s="461">
        <v>32.787212655350459</v>
      </c>
      <c r="J10" s="461">
        <v>34.989077207523444</v>
      </c>
      <c r="K10" s="461">
        <v>32.148728286998285</v>
      </c>
      <c r="L10" s="461">
        <v>32.460197737265943</v>
      </c>
      <c r="M10" s="461">
        <v>32.239954295392344</v>
      </c>
      <c r="N10" s="461">
        <v>31.778047433150153</v>
      </c>
      <c r="O10" s="461">
        <v>31.609577094591526</v>
      </c>
      <c r="P10" s="461">
        <v>31.502677968609611</v>
      </c>
      <c r="Q10" s="461">
        <v>31.471620274956717</v>
      </c>
      <c r="R10" s="461">
        <v>31.440739741119181</v>
      </c>
    </row>
    <row r="11" spans="2:21" ht="15" customHeight="1">
      <c r="B11" s="464" t="s">
        <v>969</v>
      </c>
      <c r="C11" s="464" t="s">
        <v>969</v>
      </c>
      <c r="D11" s="465">
        <v>41.290307976272011</v>
      </c>
      <c r="E11" s="465">
        <v>46.221666583097416</v>
      </c>
      <c r="F11" s="465">
        <v>41.995341029769449</v>
      </c>
      <c r="G11" s="465">
        <v>41.119139520987098</v>
      </c>
      <c r="H11" s="465">
        <v>40.32091107460711</v>
      </c>
      <c r="I11" s="465">
        <v>41.785972819777371</v>
      </c>
      <c r="J11" s="465">
        <v>42.428475555964475</v>
      </c>
      <c r="K11" s="465">
        <v>37.031056238195958</v>
      </c>
      <c r="L11" s="465">
        <v>31.223005545357484</v>
      </c>
      <c r="M11" s="465">
        <v>38.016495116978525</v>
      </c>
      <c r="N11" s="465">
        <v>36.221579432451136</v>
      </c>
      <c r="O11" s="465">
        <v>35.699474327036555</v>
      </c>
      <c r="P11" s="465">
        <v>34.820331876072665</v>
      </c>
      <c r="Q11" s="465">
        <v>34.582586137483887</v>
      </c>
      <c r="R11" s="465">
        <v>34.5239441729791</v>
      </c>
    </row>
    <row r="12" spans="2:21" ht="13.5" customHeight="1">
      <c r="B12" s="464" t="s">
        <v>970</v>
      </c>
      <c r="C12" s="464" t="s">
        <v>970</v>
      </c>
      <c r="D12" s="465">
        <v>36.456764640931254</v>
      </c>
      <c r="E12" s="465">
        <v>27.051104934529612</v>
      </c>
      <c r="F12" s="465">
        <v>22.04314336387322</v>
      </c>
      <c r="G12" s="465">
        <v>24.102782894794753</v>
      </c>
      <c r="H12" s="465">
        <v>20.578760950477783</v>
      </c>
      <c r="I12" s="465">
        <v>20.402983885059179</v>
      </c>
      <c r="J12" s="465">
        <v>23.276717625807546</v>
      </c>
      <c r="K12" s="465">
        <v>19.494932880814662</v>
      </c>
      <c r="L12" s="465">
        <v>21.806858267574562</v>
      </c>
      <c r="M12" s="465">
        <v>21.710901690590386</v>
      </c>
      <c r="N12" s="465">
        <v>22.553447137147291</v>
      </c>
      <c r="O12" s="465">
        <v>22.275787190789597</v>
      </c>
      <c r="P12" s="465">
        <v>22.123994245826857</v>
      </c>
      <c r="Q12" s="465">
        <v>21.882286331678007</v>
      </c>
      <c r="R12" s="465">
        <v>21.729388555147427</v>
      </c>
    </row>
    <row r="13" spans="2:21" ht="13.5" customHeight="1">
      <c r="B13" s="464" t="s">
        <v>971</v>
      </c>
      <c r="C13" s="464" t="s">
        <v>971</v>
      </c>
      <c r="D13" s="465">
        <v>38.852931499041098</v>
      </c>
      <c r="E13" s="465">
        <v>41.366330050238219</v>
      </c>
      <c r="F13" s="465">
        <v>41.522020677075233</v>
      </c>
      <c r="G13" s="465">
        <v>41.121454021199391</v>
      </c>
      <c r="H13" s="465">
        <v>38.949208238161255</v>
      </c>
      <c r="I13" s="465">
        <v>37.702664888890467</v>
      </c>
      <c r="J13" s="465">
        <v>42.059376248491866</v>
      </c>
      <c r="K13" s="465">
        <v>37.831812045728469</v>
      </c>
      <c r="L13" s="465">
        <v>37.246547451566705</v>
      </c>
      <c r="M13" s="465">
        <v>36.085645877688833</v>
      </c>
      <c r="N13" s="465">
        <v>37.469068546015166</v>
      </c>
      <c r="O13" s="465">
        <v>36.898407546319255</v>
      </c>
      <c r="P13" s="465">
        <v>37.31246926648393</v>
      </c>
      <c r="Q13" s="465">
        <v>37.164727195686822</v>
      </c>
      <c r="R13" s="465">
        <v>37.237079177738522</v>
      </c>
    </row>
    <row r="14" spans="2:21" ht="13.5" customHeight="1">
      <c r="B14" s="464" t="s">
        <v>972</v>
      </c>
      <c r="C14" s="464" t="s">
        <v>972</v>
      </c>
      <c r="D14" s="465">
        <v>38.836448651818266</v>
      </c>
      <c r="E14" s="465">
        <v>41.770113584404747</v>
      </c>
      <c r="F14" s="465">
        <v>40.683216743403406</v>
      </c>
      <c r="G14" s="465">
        <v>39.042088573769576</v>
      </c>
      <c r="H14" s="465">
        <v>37.844622330449468</v>
      </c>
      <c r="I14" s="465">
        <v>37.353474516408639</v>
      </c>
      <c r="J14" s="465">
        <v>38.045185170742677</v>
      </c>
      <c r="K14" s="465">
        <v>37.062685957177827</v>
      </c>
      <c r="L14" s="465">
        <v>36.821741114378511</v>
      </c>
      <c r="M14" s="465">
        <v>35.32648744588591</v>
      </c>
      <c r="N14" s="465">
        <v>34.650776414685993</v>
      </c>
      <c r="O14" s="465">
        <v>34.606207579749643</v>
      </c>
      <c r="P14" s="465">
        <v>34.680830363118368</v>
      </c>
      <c r="Q14" s="465">
        <v>34.602191326143519</v>
      </c>
      <c r="R14" s="465">
        <v>34.637957408212145</v>
      </c>
    </row>
    <row r="15" spans="2:21" ht="13.5" customHeight="1">
      <c r="B15" s="464" t="s">
        <v>119</v>
      </c>
      <c r="C15" s="464" t="s">
        <v>119</v>
      </c>
      <c r="D15" s="465">
        <v>39.671674680150716</v>
      </c>
      <c r="E15" s="465">
        <v>43.122119615583408</v>
      </c>
      <c r="F15" s="465">
        <v>44.327617405653044</v>
      </c>
      <c r="G15" s="465">
        <v>42.691343021609811</v>
      </c>
      <c r="H15" s="465">
        <v>42.342852500306179</v>
      </c>
      <c r="I15" s="465">
        <v>42.413835163431393</v>
      </c>
      <c r="J15" s="465">
        <v>47.001209780844505</v>
      </c>
      <c r="K15" s="465">
        <v>41.173394620871498</v>
      </c>
      <c r="L15" s="465">
        <v>43.321552117375276</v>
      </c>
      <c r="M15" s="465">
        <v>44.648111151223205</v>
      </c>
      <c r="N15" s="465">
        <v>43.660050809427034</v>
      </c>
      <c r="O15" s="465">
        <v>41.994837106634726</v>
      </c>
      <c r="P15" s="465">
        <v>40.844151743562684</v>
      </c>
      <c r="Q15" s="465">
        <v>40.178410733645606</v>
      </c>
      <c r="R15" s="465">
        <v>39.575382295152913</v>
      </c>
    </row>
    <row r="16" spans="2:21" ht="13.5" customHeight="1">
      <c r="B16" s="464" t="s">
        <v>427</v>
      </c>
      <c r="C16" s="464" t="s">
        <v>427</v>
      </c>
      <c r="D16" s="465">
        <v>37.079304726788799</v>
      </c>
      <c r="E16" s="465">
        <v>37.317702350046936</v>
      </c>
      <c r="F16" s="465">
        <v>32.710590415453467</v>
      </c>
      <c r="G16" s="465">
        <v>32.010500369488639</v>
      </c>
      <c r="H16" s="465">
        <v>34.311300688165566</v>
      </c>
      <c r="I16" s="465">
        <v>35.852701558258971</v>
      </c>
      <c r="J16" s="465">
        <v>37.791701352962434</v>
      </c>
      <c r="K16" s="465">
        <v>38.597497070943277</v>
      </c>
      <c r="L16" s="465">
        <v>38.242241246999789</v>
      </c>
      <c r="M16" s="465">
        <v>40.036524907633137</v>
      </c>
      <c r="N16" s="465">
        <v>38.250026867034038</v>
      </c>
      <c r="O16" s="465">
        <v>37.374568755024605</v>
      </c>
      <c r="P16" s="465">
        <v>37.15027687537291</v>
      </c>
      <c r="Q16" s="465">
        <v>36.810604613414185</v>
      </c>
      <c r="R16" s="465">
        <v>36.497711960717723</v>
      </c>
    </row>
    <row r="17" spans="2:18" ht="13.5" customHeight="1">
      <c r="B17" s="464" t="s">
        <v>973</v>
      </c>
      <c r="C17" s="464" t="s">
        <v>973</v>
      </c>
      <c r="D17" s="465">
        <v>23.852611278059076</v>
      </c>
      <c r="E17" s="465">
        <v>25.027949028148534</v>
      </c>
      <c r="F17" s="465">
        <v>25.366652996663614</v>
      </c>
      <c r="G17" s="465">
        <v>25.492620579944525</v>
      </c>
      <c r="H17" s="465">
        <v>25.615662432268604</v>
      </c>
      <c r="I17" s="465">
        <v>26.467414328581668</v>
      </c>
      <c r="J17" s="465">
        <v>29.063005546215702</v>
      </c>
      <c r="K17" s="465">
        <v>33.476776302398562</v>
      </c>
      <c r="L17" s="465">
        <v>26.5573218777287</v>
      </c>
      <c r="M17" s="465">
        <v>26.620033320941559</v>
      </c>
      <c r="N17" s="465">
        <v>26.56916388833362</v>
      </c>
      <c r="O17" s="465">
        <v>26.078893451509039</v>
      </c>
      <c r="P17" s="465">
        <v>25.654292199133486</v>
      </c>
      <c r="Q17" s="465">
        <v>25.637018723349374</v>
      </c>
      <c r="R17" s="465">
        <v>25.221136223445907</v>
      </c>
    </row>
    <row r="18" spans="2:18" ht="13.5" customHeight="1">
      <c r="B18" s="464" t="s">
        <v>111</v>
      </c>
      <c r="C18" s="464" t="s">
        <v>111</v>
      </c>
      <c r="D18" s="465">
        <v>28.890074518933691</v>
      </c>
      <c r="E18" s="465">
        <v>31.552172398109196</v>
      </c>
      <c r="F18" s="465">
        <v>32.316197079203</v>
      </c>
      <c r="G18" s="465">
        <v>32.635163521307575</v>
      </c>
      <c r="H18" s="465">
        <v>33.276941773822834</v>
      </c>
      <c r="I18" s="465">
        <v>34.152609326372584</v>
      </c>
      <c r="J18" s="465">
        <v>35.40273469580454</v>
      </c>
      <c r="K18" s="465">
        <v>32.686188054118446</v>
      </c>
      <c r="L18" s="465">
        <v>33.080674766691494</v>
      </c>
      <c r="M18" s="465">
        <v>32.524865255981339</v>
      </c>
      <c r="N18" s="465">
        <v>32.261911920832596</v>
      </c>
      <c r="O18" s="465">
        <v>32.355837762016911</v>
      </c>
      <c r="P18" s="465">
        <v>32.421020009132263</v>
      </c>
      <c r="Q18" s="465">
        <v>32.483010090155041</v>
      </c>
      <c r="R18" s="465">
        <v>32.542057813913082</v>
      </c>
    </row>
    <row r="19" spans="2:18" ht="13.5" customHeight="1">
      <c r="B19" s="464" t="s">
        <v>480</v>
      </c>
      <c r="C19" s="464" t="s">
        <v>480</v>
      </c>
      <c r="D19" s="465">
        <v>31.261203883385434</v>
      </c>
      <c r="E19" s="465">
        <v>31.277389419136785</v>
      </c>
      <c r="F19" s="465">
        <v>29.993657573632699</v>
      </c>
      <c r="G19" s="465">
        <v>29.320490709619968</v>
      </c>
      <c r="H19" s="465">
        <v>34.657894335931793</v>
      </c>
      <c r="I19" s="465">
        <v>32.878861580952169</v>
      </c>
      <c r="J19" s="465">
        <v>33.581610627973461</v>
      </c>
      <c r="K19" s="465">
        <v>34.441763605894081</v>
      </c>
      <c r="L19" s="465">
        <v>34.237683506623121</v>
      </c>
      <c r="M19" s="465">
        <v>35.42306542523847</v>
      </c>
      <c r="N19" s="465">
        <v>34.136823791766254</v>
      </c>
      <c r="O19" s="465">
        <v>33.404395118062901</v>
      </c>
      <c r="P19" s="465">
        <v>33.124144091325249</v>
      </c>
      <c r="Q19" s="465">
        <v>33.135661982873252</v>
      </c>
      <c r="R19" s="465">
        <v>32.844400705604379</v>
      </c>
    </row>
    <row r="20" spans="2:18" ht="13.5" customHeight="1">
      <c r="B20" s="464" t="s">
        <v>975</v>
      </c>
      <c r="C20" s="464" t="s">
        <v>975</v>
      </c>
      <c r="D20" s="465">
        <v>16.999842588638362</v>
      </c>
      <c r="E20" s="465">
        <v>16.681155155903177</v>
      </c>
      <c r="F20" s="465">
        <v>16.974438186939981</v>
      </c>
      <c r="G20" s="465">
        <v>17.064118584749295</v>
      </c>
      <c r="H20" s="465">
        <v>16.351643295100509</v>
      </c>
      <c r="I20" s="465">
        <v>16.591216557272009</v>
      </c>
      <c r="J20" s="465">
        <v>22.09175591933149</v>
      </c>
      <c r="K20" s="465">
        <v>18.529136314310843</v>
      </c>
      <c r="L20" s="465">
        <v>18.790974161519117</v>
      </c>
      <c r="M20" s="465">
        <v>17.885209011119549</v>
      </c>
      <c r="N20" s="465">
        <v>17.765326820785489</v>
      </c>
      <c r="O20" s="465">
        <v>17.534385130331863</v>
      </c>
      <c r="P20" s="465">
        <v>17.475590891322391</v>
      </c>
      <c r="Q20" s="465">
        <v>17.428588071068621</v>
      </c>
      <c r="R20" s="465">
        <v>17.417721824997376</v>
      </c>
    </row>
    <row r="21" spans="2:18" ht="16.149999999999999" customHeight="1">
      <c r="B21" s="464" t="s">
        <v>1004</v>
      </c>
      <c r="C21" s="464" t="s">
        <v>977</v>
      </c>
      <c r="D21" s="465">
        <v>43.273062970688578</v>
      </c>
      <c r="E21" s="465">
        <v>40.216711740812642</v>
      </c>
      <c r="F21" s="465">
        <v>40.121426162397022</v>
      </c>
      <c r="G21" s="465">
        <v>37.964764060856034</v>
      </c>
      <c r="H21" s="465">
        <v>38.401208660788114</v>
      </c>
      <c r="I21" s="465">
        <v>37.112002103362755</v>
      </c>
      <c r="J21" s="465">
        <v>36.537254150286387</v>
      </c>
      <c r="K21" s="465">
        <v>35.763053983829039</v>
      </c>
      <c r="L21" s="465">
        <v>36.048823226327713</v>
      </c>
      <c r="M21" s="465" t="s">
        <v>145</v>
      </c>
      <c r="N21" s="465" t="s">
        <v>145</v>
      </c>
      <c r="O21" s="465" t="s">
        <v>145</v>
      </c>
      <c r="P21" s="465" t="s">
        <v>145</v>
      </c>
      <c r="Q21" s="465" t="s">
        <v>145</v>
      </c>
      <c r="R21" s="465" t="s">
        <v>145</v>
      </c>
    </row>
    <row r="22" spans="2:18" ht="15.6" customHeight="1">
      <c r="B22" s="464" t="s">
        <v>978</v>
      </c>
      <c r="C22" s="464" t="s">
        <v>978</v>
      </c>
      <c r="D22" s="465">
        <v>33.891576129324662</v>
      </c>
      <c r="E22" s="465">
        <v>31.265424872139246</v>
      </c>
      <c r="F22" s="465">
        <v>30.968190230105801</v>
      </c>
      <c r="G22" s="465">
        <v>30.552933614157933</v>
      </c>
      <c r="H22" s="465">
        <v>28.630830225879734</v>
      </c>
      <c r="I22" s="465">
        <v>26.89755182273052</v>
      </c>
      <c r="J22" s="465">
        <v>25.695390566589733</v>
      </c>
      <c r="K22" s="465">
        <v>25.543197610721734</v>
      </c>
      <c r="L22" s="465">
        <v>24.7008823716927</v>
      </c>
      <c r="M22" s="465">
        <v>26.298715328799037</v>
      </c>
      <c r="N22" s="465">
        <v>29.014949441577194</v>
      </c>
      <c r="O22" s="465">
        <v>28.647575026961302</v>
      </c>
      <c r="P22" s="465">
        <v>27.329182900351995</v>
      </c>
      <c r="Q22" s="465">
        <v>26.420416902145245</v>
      </c>
      <c r="R22" s="465">
        <v>25.862975106934432</v>
      </c>
    </row>
    <row r="23" spans="2:18" ht="13.5" customHeight="1">
      <c r="B23" s="464" t="s">
        <v>450</v>
      </c>
      <c r="C23" s="464" t="s">
        <v>450</v>
      </c>
      <c r="D23" s="465">
        <v>50.0458211682854</v>
      </c>
      <c r="E23" s="465">
        <v>50.379702820629177</v>
      </c>
      <c r="F23" s="465">
        <v>46.797618703693956</v>
      </c>
      <c r="G23" s="465">
        <v>46.717738826493566</v>
      </c>
      <c r="H23" s="465">
        <v>46.151529619799369</v>
      </c>
      <c r="I23" s="465">
        <v>46.053643091777801</v>
      </c>
      <c r="J23" s="465">
        <v>51.083006107675224</v>
      </c>
      <c r="K23" s="465">
        <v>48.418371651582831</v>
      </c>
      <c r="L23" s="465">
        <v>49.977468087754836</v>
      </c>
      <c r="M23" s="465">
        <v>47.541966011905771</v>
      </c>
      <c r="N23" s="465">
        <v>46.941933657185643</v>
      </c>
      <c r="O23" s="465">
        <v>46.43424082639018</v>
      </c>
      <c r="P23" s="465">
        <v>45.68848620436065</v>
      </c>
      <c r="Q23" s="465">
        <v>45.097438027235249</v>
      </c>
      <c r="R23" s="465">
        <v>43.737069801495323</v>
      </c>
    </row>
    <row r="24" spans="2:18" ht="13.5" customHeight="1">
      <c r="B24" s="464" t="s">
        <v>112</v>
      </c>
      <c r="C24" s="464" t="s">
        <v>112</v>
      </c>
      <c r="D24" s="465">
        <v>26.220442077132105</v>
      </c>
      <c r="E24" s="465">
        <v>27.058974489303196</v>
      </c>
      <c r="F24" s="465">
        <v>27.232843544592626</v>
      </c>
      <c r="G24" s="465">
        <v>26.231662594119147</v>
      </c>
      <c r="H24" s="465">
        <v>26.327665031803733</v>
      </c>
      <c r="I24" s="465">
        <v>26.845837549412817</v>
      </c>
      <c r="J24" s="465">
        <v>31.057054492880209</v>
      </c>
      <c r="K24" s="465">
        <v>29.325470370007721</v>
      </c>
      <c r="L24" s="465">
        <v>28.79534318409241</v>
      </c>
      <c r="M24" s="465">
        <v>28.000583799709883</v>
      </c>
      <c r="N24" s="465">
        <v>27.737500450006547</v>
      </c>
      <c r="O24" s="465">
        <v>27.533407691248968</v>
      </c>
      <c r="P24" s="465">
        <v>27.486527598388783</v>
      </c>
      <c r="Q24" s="465">
        <v>27.584576025991659</v>
      </c>
      <c r="R24" s="465">
        <v>27.627054768784404</v>
      </c>
    </row>
    <row r="25" spans="2:18" ht="13.5" customHeight="1">
      <c r="B25" s="464" t="s">
        <v>281</v>
      </c>
      <c r="C25" s="464" t="s">
        <v>281</v>
      </c>
      <c r="D25" s="465">
        <v>18.606245202498691</v>
      </c>
      <c r="E25" s="465">
        <v>17.478161635121882</v>
      </c>
      <c r="F25" s="465">
        <v>16.823774479157404</v>
      </c>
      <c r="G25" s="465">
        <v>16.562377521631642</v>
      </c>
      <c r="H25" s="465">
        <v>16.695589189490615</v>
      </c>
      <c r="I25" s="465">
        <v>16.33608433306615</v>
      </c>
      <c r="J25" s="465">
        <v>18.557214451093884</v>
      </c>
      <c r="K25" s="465">
        <v>18.17911222154703</v>
      </c>
      <c r="L25" s="465">
        <v>17.540212156058775</v>
      </c>
      <c r="M25" s="465">
        <v>16.975100217884322</v>
      </c>
      <c r="N25" s="465">
        <v>17.121197337086347</v>
      </c>
      <c r="O25" s="465">
        <v>17.082451320424695</v>
      </c>
      <c r="P25" s="465">
        <v>17.090698693801258</v>
      </c>
      <c r="Q25" s="465">
        <v>17.08920127305603</v>
      </c>
      <c r="R25" s="465">
        <v>17.070955294015455</v>
      </c>
    </row>
    <row r="26" spans="2:18" ht="13.5" customHeight="1">
      <c r="B26" s="464" t="s">
        <v>979</v>
      </c>
      <c r="C26" s="464" t="s">
        <v>979</v>
      </c>
      <c r="D26" s="465">
        <v>14.158764604977513</v>
      </c>
      <c r="E26" s="465">
        <v>16.322444981484317</v>
      </c>
      <c r="F26" s="465">
        <v>17.037835400858711</v>
      </c>
      <c r="G26" s="465">
        <v>17.118067501057808</v>
      </c>
      <c r="H26" s="465">
        <v>15.251227765751111</v>
      </c>
      <c r="I26" s="465">
        <v>14.140221556943821</v>
      </c>
      <c r="J26" s="465">
        <v>13.005479855396693</v>
      </c>
      <c r="K26" s="465">
        <v>12.209142798516377</v>
      </c>
      <c r="L26" s="465">
        <v>12.290897091282909</v>
      </c>
      <c r="M26" s="465">
        <v>13.910597026966808</v>
      </c>
      <c r="N26" s="465">
        <v>14.423571169530591</v>
      </c>
      <c r="O26" s="465">
        <v>14.794847186241283</v>
      </c>
      <c r="P26" s="465">
        <v>15.183223473804405</v>
      </c>
      <c r="Q26" s="465">
        <v>15.645884082670591</v>
      </c>
      <c r="R26" s="465">
        <v>16.125544445995576</v>
      </c>
    </row>
    <row r="27" spans="2:18" ht="13.5" customHeight="1">
      <c r="B27" s="464" t="s">
        <v>980</v>
      </c>
      <c r="C27" s="464" t="s">
        <v>980</v>
      </c>
      <c r="D27" s="465">
        <v>21.260228861274747</v>
      </c>
      <c r="E27" s="465">
        <v>22.870294495645744</v>
      </c>
      <c r="F27" s="465">
        <v>21.511669993875604</v>
      </c>
      <c r="G27" s="465">
        <v>24.087917439229876</v>
      </c>
      <c r="H27" s="465">
        <v>18.846626700901528</v>
      </c>
      <c r="I27" s="465">
        <v>20.2484874607518</v>
      </c>
      <c r="J27" s="465">
        <v>24.545990208516237</v>
      </c>
      <c r="K27" s="465">
        <v>22.069655001609856</v>
      </c>
      <c r="L27" s="465">
        <v>21.693016111412774</v>
      </c>
      <c r="M27" s="465">
        <v>21.798964707900449</v>
      </c>
      <c r="N27" s="465">
        <v>20.638679923211896</v>
      </c>
      <c r="O27" s="465">
        <v>20.425723740880674</v>
      </c>
      <c r="P27" s="465">
        <v>20.495975739562287</v>
      </c>
      <c r="Q27" s="465">
        <v>20.55638578088254</v>
      </c>
      <c r="R27" s="465">
        <v>20.629554988022967</v>
      </c>
    </row>
    <row r="28" spans="2:18" ht="13.5" customHeight="1">
      <c r="B28" s="464" t="s">
        <v>981</v>
      </c>
      <c r="C28" s="464" t="s">
        <v>981</v>
      </c>
      <c r="D28" s="465">
        <v>44.281493530495581</v>
      </c>
      <c r="E28" s="465">
        <v>54.405568961884143</v>
      </c>
      <c r="F28" s="465">
        <v>54.01131261228258</v>
      </c>
      <c r="G28" s="465">
        <v>52.021419508372659</v>
      </c>
      <c r="H28" s="465">
        <v>51.806483650957759</v>
      </c>
      <c r="I28" s="465">
        <v>53.038316634645021</v>
      </c>
      <c r="J28" s="465">
        <v>66.518357239335359</v>
      </c>
      <c r="K28" s="465">
        <v>52.294154521544456</v>
      </c>
      <c r="L28" s="465">
        <v>40.675062263774585</v>
      </c>
      <c r="M28" s="465">
        <v>50.666194252457188</v>
      </c>
      <c r="N28" s="465">
        <v>50.506057944689722</v>
      </c>
      <c r="O28" s="465">
        <v>50.501813812781549</v>
      </c>
      <c r="P28" s="465">
        <v>50.905973001537454</v>
      </c>
      <c r="Q28" s="465">
        <v>51.383774558199612</v>
      </c>
      <c r="R28" s="465">
        <v>51.72373614920479</v>
      </c>
    </row>
    <row r="29" spans="2:18" ht="13.5" customHeight="1">
      <c r="B29" s="464" t="s">
        <v>982</v>
      </c>
      <c r="C29" s="464" t="s">
        <v>982</v>
      </c>
      <c r="D29" s="465">
        <v>28.833339288866821</v>
      </c>
      <c r="E29" s="465">
        <v>26.65908885582186</v>
      </c>
      <c r="F29" s="465">
        <v>28.283509500032423</v>
      </c>
      <c r="G29" s="465">
        <v>30.571585834198579</v>
      </c>
      <c r="H29" s="465">
        <v>32.325166739161951</v>
      </c>
      <c r="I29" s="465">
        <v>31.173649558581474</v>
      </c>
      <c r="J29" s="465">
        <v>19.552308254963428</v>
      </c>
      <c r="K29" s="465" t="s">
        <v>145</v>
      </c>
      <c r="L29" s="465" t="s">
        <v>145</v>
      </c>
      <c r="M29" s="465" t="s">
        <v>145</v>
      </c>
      <c r="N29" s="465" t="s">
        <v>145</v>
      </c>
      <c r="O29" s="465" t="s">
        <v>145</v>
      </c>
      <c r="P29" s="465" t="s">
        <v>145</v>
      </c>
      <c r="Q29" s="465" t="s">
        <v>145</v>
      </c>
      <c r="R29" s="465" t="s">
        <v>145</v>
      </c>
    </row>
    <row r="30" spans="2:18" ht="13.5" customHeight="1">
      <c r="B30" s="464" t="s">
        <v>984</v>
      </c>
      <c r="C30" s="464" t="s">
        <v>984</v>
      </c>
      <c r="D30" s="465">
        <v>25.956967002055858</v>
      </c>
      <c r="E30" s="465">
        <v>24.708184302593672</v>
      </c>
      <c r="F30" s="465">
        <v>22.857676080294663</v>
      </c>
      <c r="G30" s="465">
        <v>22.043059909495668</v>
      </c>
      <c r="H30" s="465">
        <v>22.799943076697797</v>
      </c>
      <c r="I30" s="465">
        <v>23.576653723248839</v>
      </c>
      <c r="J30" s="465">
        <v>25.058956276445699</v>
      </c>
      <c r="K30" s="465">
        <v>24.381809400179375</v>
      </c>
      <c r="L30" s="465">
        <v>24.270516188490671</v>
      </c>
      <c r="M30" s="465">
        <v>21.628592879440138</v>
      </c>
      <c r="N30" s="465">
        <v>20.442943495499787</v>
      </c>
      <c r="O30" s="465">
        <v>20.067078674451793</v>
      </c>
      <c r="P30" s="465">
        <v>19.895227529597825</v>
      </c>
      <c r="Q30" s="465">
        <v>19.986215868924429</v>
      </c>
      <c r="R30" s="465">
        <v>20.017709504959878</v>
      </c>
    </row>
    <row r="31" spans="2:18" ht="13.5" customHeight="1">
      <c r="B31" s="464" t="s">
        <v>120</v>
      </c>
      <c r="C31" s="464" t="s">
        <v>120</v>
      </c>
      <c r="D31" s="465">
        <v>27.956449203004137</v>
      </c>
      <c r="E31" s="465">
        <v>27.496151067554987</v>
      </c>
      <c r="F31" s="465">
        <v>27.352272201989635</v>
      </c>
      <c r="G31" s="465">
        <v>25.704872083319625</v>
      </c>
      <c r="H31" s="465">
        <v>25.662092829678802</v>
      </c>
      <c r="I31" s="465">
        <v>25.961707095898046</v>
      </c>
      <c r="J31" s="465">
        <v>28.561146447594947</v>
      </c>
      <c r="K31" s="465">
        <v>27.600625914990427</v>
      </c>
      <c r="L31" s="465">
        <v>30.225824568824677</v>
      </c>
      <c r="M31" s="465">
        <v>28.021785758999119</v>
      </c>
      <c r="N31" s="465">
        <v>26.590301727372882</v>
      </c>
      <c r="O31" s="465">
        <v>26.514130483879665</v>
      </c>
      <c r="P31" s="465">
        <v>26.623138050025386</v>
      </c>
      <c r="Q31" s="465">
        <v>26.769577016326306</v>
      </c>
      <c r="R31" s="465">
        <v>26.877090120447289</v>
      </c>
    </row>
    <row r="32" spans="2:18" ht="13.5" customHeight="1">
      <c r="B32" s="464" t="s">
        <v>985</v>
      </c>
      <c r="C32" s="464" t="s">
        <v>985</v>
      </c>
      <c r="D32" s="465">
        <v>30.676680107124245</v>
      </c>
      <c r="E32" s="465">
        <v>28.413375517915924</v>
      </c>
      <c r="F32" s="465">
        <v>28.551250823841741</v>
      </c>
      <c r="G32" s="465">
        <v>27.810992301298203</v>
      </c>
      <c r="H32" s="465">
        <v>27.673842091568453</v>
      </c>
      <c r="I32" s="465">
        <v>27.362068047709538</v>
      </c>
      <c r="J32" s="465">
        <v>34.146915199940295</v>
      </c>
      <c r="K32" s="465">
        <v>31.049591247266296</v>
      </c>
      <c r="L32" s="465">
        <v>31.047137270822901</v>
      </c>
      <c r="M32" s="465">
        <v>31.819405377806099</v>
      </c>
      <c r="N32" s="465">
        <v>31.121721556858319</v>
      </c>
      <c r="O32" s="465">
        <v>30.268454751746059</v>
      </c>
      <c r="P32" s="465">
        <v>29.784143409527381</v>
      </c>
      <c r="Q32" s="465">
        <v>29.655386138510011</v>
      </c>
      <c r="R32" s="465">
        <v>29.542847033106618</v>
      </c>
    </row>
    <row r="33" spans="2:27" ht="13.5" customHeight="1">
      <c r="B33" s="464" t="s">
        <v>986</v>
      </c>
      <c r="C33" s="464" t="s">
        <v>986</v>
      </c>
      <c r="D33" s="465">
        <v>41.415330705951988</v>
      </c>
      <c r="E33" s="465">
        <v>44.541333811423314</v>
      </c>
      <c r="F33" s="465">
        <v>44.614021599352718</v>
      </c>
      <c r="G33" s="465">
        <v>39.428499626480132</v>
      </c>
      <c r="H33" s="465">
        <v>38.320959292846482</v>
      </c>
      <c r="I33" s="465">
        <v>38.778579817167582</v>
      </c>
      <c r="J33" s="465">
        <v>45.704949150136883</v>
      </c>
      <c r="K33" s="465">
        <v>36.155798860506401</v>
      </c>
      <c r="L33" s="465">
        <v>29.045303406260913</v>
      </c>
      <c r="M33" s="465">
        <v>32.127720104051328</v>
      </c>
      <c r="N33" s="465">
        <v>30.811249858162387</v>
      </c>
      <c r="O33" s="465">
        <v>30.496412763769985</v>
      </c>
      <c r="P33" s="465">
        <v>29.887142082133295</v>
      </c>
      <c r="Q33" s="465">
        <v>29.000132627322539</v>
      </c>
      <c r="R33" s="465">
        <v>27.989990817466559</v>
      </c>
    </row>
    <row r="34" spans="2:27" ht="15" customHeight="1">
      <c r="B34" s="464" t="s">
        <v>987</v>
      </c>
      <c r="C34" s="464" t="s">
        <v>987</v>
      </c>
      <c r="D34" s="465">
        <v>17.854316530325299</v>
      </c>
      <c r="E34" s="465">
        <v>17.566404286044008</v>
      </c>
      <c r="F34" s="465">
        <v>17.712013204319419</v>
      </c>
      <c r="G34" s="465">
        <v>19.127940318881606</v>
      </c>
      <c r="H34" s="465">
        <v>19.107829305628172</v>
      </c>
      <c r="I34" s="465">
        <v>19.05375038691481</v>
      </c>
      <c r="J34" s="465">
        <v>20.296417727495779</v>
      </c>
      <c r="K34" s="465">
        <v>18.471735586632725</v>
      </c>
      <c r="L34" s="465">
        <v>19.865036972214615</v>
      </c>
      <c r="M34" s="465">
        <v>19.085643991685266</v>
      </c>
      <c r="N34" s="465">
        <v>20.819717735599834</v>
      </c>
      <c r="O34" s="465">
        <v>19.593600841816635</v>
      </c>
      <c r="P34" s="465">
        <v>18.765739187377491</v>
      </c>
      <c r="Q34" s="465">
        <v>18.292200659395299</v>
      </c>
      <c r="R34" s="465">
        <v>17.932170894515362</v>
      </c>
    </row>
    <row r="35" spans="2:27" ht="13.5" customHeight="1">
      <c r="B35" s="464" t="s">
        <v>988</v>
      </c>
      <c r="C35" s="464" t="s">
        <v>988</v>
      </c>
      <c r="D35" s="465">
        <v>22.553876301744317</v>
      </c>
      <c r="E35" s="465">
        <v>22.319048182281954</v>
      </c>
      <c r="F35" s="465">
        <v>20.945750563095196</v>
      </c>
      <c r="G35" s="465">
        <v>21.088494361464221</v>
      </c>
      <c r="H35" s="465">
        <v>21.274357038690574</v>
      </c>
      <c r="I35" s="465">
        <v>21.14889880578788</v>
      </c>
      <c r="J35" s="465">
        <v>26.862252387800332</v>
      </c>
      <c r="K35" s="465">
        <v>23.548461117626555</v>
      </c>
      <c r="L35" s="465">
        <v>23.091993573043272</v>
      </c>
      <c r="M35" s="465">
        <v>23.52581790551012</v>
      </c>
      <c r="N35" s="465">
        <v>23.383511212504384</v>
      </c>
      <c r="O35" s="465">
        <v>22.717935732472004</v>
      </c>
      <c r="P35" s="465">
        <v>21.94578843773861</v>
      </c>
      <c r="Q35" s="465">
        <v>21.737107453111413</v>
      </c>
      <c r="R35" s="465">
        <v>21.730996233495642</v>
      </c>
    </row>
    <row r="36" spans="2:27" ht="13.5" customHeight="1">
      <c r="B36" s="464" t="s">
        <v>989</v>
      </c>
      <c r="C36" s="464" t="s">
        <v>989</v>
      </c>
      <c r="D36" s="465">
        <v>17.334363807872716</v>
      </c>
      <c r="E36" s="465">
        <v>18.032967685809233</v>
      </c>
      <c r="F36" s="465">
        <v>19.098213223751753</v>
      </c>
      <c r="G36" s="465">
        <v>19.457405486002635</v>
      </c>
      <c r="H36" s="465">
        <v>20.913430288806673</v>
      </c>
      <c r="I36" s="465">
        <v>21.680905823526285</v>
      </c>
      <c r="J36" s="465">
        <v>25.92414261111869</v>
      </c>
      <c r="K36" s="465">
        <v>27.277157741947413</v>
      </c>
      <c r="L36" s="465">
        <v>26.814269961874519</v>
      </c>
      <c r="M36" s="465">
        <v>25.585944142143845</v>
      </c>
      <c r="N36" s="465">
        <v>25.214541335238589</v>
      </c>
      <c r="O36" s="465">
        <v>25.065673479242705</v>
      </c>
      <c r="P36" s="465">
        <v>25.316358672658563</v>
      </c>
      <c r="Q36" s="465">
        <v>25.342051070815042</v>
      </c>
      <c r="R36" s="465">
        <v>25.518398723891522</v>
      </c>
    </row>
    <row r="37" spans="2:27" ht="13.5" customHeight="1">
      <c r="B37" s="464" t="s">
        <v>426</v>
      </c>
      <c r="C37" s="464" t="s">
        <v>426</v>
      </c>
      <c r="D37" s="465">
        <v>42.907460123396376</v>
      </c>
      <c r="E37" s="465">
        <v>41.73671785349174</v>
      </c>
      <c r="F37" s="465">
        <v>41.334986757265753</v>
      </c>
      <c r="G37" s="465">
        <v>41.418321822640173</v>
      </c>
      <c r="H37" s="465">
        <v>41.438810556186873</v>
      </c>
      <c r="I37" s="465">
        <v>41.857567503628374</v>
      </c>
      <c r="J37" s="465">
        <v>48.239838307485108</v>
      </c>
      <c r="K37" s="465">
        <v>44.13842121460128</v>
      </c>
      <c r="L37" s="465">
        <v>44.107370858903664</v>
      </c>
      <c r="M37" s="465">
        <v>46.286631402419601</v>
      </c>
      <c r="N37" s="465">
        <v>45.93455843538468</v>
      </c>
      <c r="O37" s="465">
        <v>46.008004795830217</v>
      </c>
      <c r="P37" s="465">
        <v>46.01654071102562</v>
      </c>
      <c r="Q37" s="465">
        <v>45.329867844262793</v>
      </c>
      <c r="R37" s="465">
        <v>45.137123532473879</v>
      </c>
    </row>
    <row r="38" spans="2:27" ht="13.5" customHeight="1">
      <c r="B38" s="464" t="s">
        <v>990</v>
      </c>
      <c r="C38" s="464" t="s">
        <v>990</v>
      </c>
      <c r="D38" s="465">
        <v>32.315248755092199</v>
      </c>
      <c r="E38" s="465">
        <v>38.559584735355415</v>
      </c>
      <c r="F38" s="465">
        <v>40.138148305736863</v>
      </c>
      <c r="G38" s="465">
        <v>34.66314006967928</v>
      </c>
      <c r="H38" s="465">
        <v>28.89609823428632</v>
      </c>
      <c r="I38" s="465">
        <v>32.464350964313034</v>
      </c>
      <c r="J38" s="465">
        <v>34.699409346398483</v>
      </c>
      <c r="K38" s="465">
        <v>29.326096097243987</v>
      </c>
      <c r="L38" s="465">
        <v>25.428388854614393</v>
      </c>
      <c r="M38" s="465">
        <v>27.075108978941476</v>
      </c>
      <c r="N38" s="465">
        <v>26.686862525906118</v>
      </c>
      <c r="O38" s="465">
        <v>25.995594245866073</v>
      </c>
      <c r="P38" s="465">
        <v>25.463850827991845</v>
      </c>
      <c r="Q38" s="465">
        <v>24.129151252748972</v>
      </c>
      <c r="R38" s="465">
        <v>23.030879062547648</v>
      </c>
    </row>
    <row r="39" spans="2:27" ht="13.5" customHeight="1">
      <c r="B39" s="464" t="s">
        <v>445</v>
      </c>
      <c r="C39" s="464" t="s">
        <v>445</v>
      </c>
      <c r="D39" s="465">
        <v>33.754543341857328</v>
      </c>
      <c r="E39" s="465">
        <v>34.162993337296129</v>
      </c>
      <c r="F39" s="465">
        <v>31.812970428952219</v>
      </c>
      <c r="G39" s="465">
        <v>31.018636259189286</v>
      </c>
      <c r="H39" s="465">
        <v>31.729295571744309</v>
      </c>
      <c r="I39" s="465">
        <v>33.310495565721993</v>
      </c>
      <c r="J39" s="465">
        <v>38.182739019131304</v>
      </c>
      <c r="K39" s="465">
        <v>37.195032754317317</v>
      </c>
      <c r="L39" s="465">
        <v>36.750610845136208</v>
      </c>
      <c r="M39" s="465">
        <v>36.331357024284152</v>
      </c>
      <c r="N39" s="465">
        <v>35.828219853424912</v>
      </c>
      <c r="O39" s="465">
        <v>35.703190468270591</v>
      </c>
      <c r="P39" s="465">
        <v>35.633793509142315</v>
      </c>
      <c r="Q39" s="465">
        <v>35.335116649447833</v>
      </c>
      <c r="R39" s="465">
        <v>35.222637548487199</v>
      </c>
    </row>
    <row r="40" spans="2:27" ht="13.5" customHeight="1">
      <c r="B40" s="464" t="s">
        <v>116</v>
      </c>
      <c r="C40" s="464" t="s">
        <v>116</v>
      </c>
      <c r="D40" s="465">
        <v>34.938208607475637</v>
      </c>
      <c r="E40" s="465">
        <v>35.273435566740687</v>
      </c>
      <c r="F40" s="465">
        <v>36.586202828673578</v>
      </c>
      <c r="G40" s="465">
        <v>34.83015404833673</v>
      </c>
      <c r="H40" s="465">
        <v>32.620961880970079</v>
      </c>
      <c r="I40" s="465">
        <v>33.75226387645543</v>
      </c>
      <c r="J40" s="465">
        <v>39.15254064333724</v>
      </c>
      <c r="K40" s="465">
        <v>34.792572309191613</v>
      </c>
      <c r="L40" s="465">
        <v>36.559384071304066</v>
      </c>
      <c r="M40" s="465">
        <v>37.419896855358907</v>
      </c>
      <c r="N40" s="465">
        <v>35.06011125869864</v>
      </c>
      <c r="O40" s="465">
        <v>34.124536795095679</v>
      </c>
      <c r="P40" s="465">
        <v>33.273613641549076</v>
      </c>
      <c r="Q40" s="465">
        <v>32.916900594068416</v>
      </c>
      <c r="R40" s="465">
        <v>32.468941517064188</v>
      </c>
    </row>
    <row r="41" spans="2:27" ht="13.5" customHeight="1">
      <c r="B41" s="464" t="s">
        <v>123</v>
      </c>
      <c r="C41" s="464" t="s">
        <v>123</v>
      </c>
      <c r="D41" s="465">
        <v>39.676308130282379</v>
      </c>
      <c r="E41" s="465">
        <v>39.883086217939528</v>
      </c>
      <c r="F41" s="465">
        <v>34.454938502453253</v>
      </c>
      <c r="G41" s="465">
        <v>32.067122949960634</v>
      </c>
      <c r="H41" s="465">
        <v>33.979706358638595</v>
      </c>
      <c r="I41" s="465">
        <v>33.676565053965184</v>
      </c>
      <c r="J41" s="465">
        <v>39.067621856839139</v>
      </c>
      <c r="K41" s="465">
        <v>31.896525786887992</v>
      </c>
      <c r="L41" s="465">
        <v>28.059190881845712</v>
      </c>
      <c r="M41" s="465">
        <v>29.592799520562608</v>
      </c>
      <c r="N41" s="465">
        <v>29.850515533358816</v>
      </c>
      <c r="O41" s="465">
        <v>29.683252573495011</v>
      </c>
      <c r="P41" s="465">
        <v>29.324255408070144</v>
      </c>
      <c r="Q41" s="465">
        <v>29.09417657451424</v>
      </c>
      <c r="R41" s="465">
        <v>28.54208683896897</v>
      </c>
    </row>
    <row r="42" spans="2:27" ht="13.5" customHeight="1">
      <c r="B42" s="464" t="s">
        <v>124</v>
      </c>
      <c r="C42" s="464" t="s">
        <v>124</v>
      </c>
      <c r="D42" s="465">
        <v>29.321059572947693</v>
      </c>
      <c r="E42" s="465">
        <v>30.164090164366435</v>
      </c>
      <c r="F42" s="465">
        <v>29.908566909091288</v>
      </c>
      <c r="G42" s="465">
        <v>29.859959397943086</v>
      </c>
      <c r="H42" s="465">
        <v>30.234478878624536</v>
      </c>
      <c r="I42" s="465">
        <v>31.458358799465238</v>
      </c>
      <c r="J42" s="465">
        <v>34.642279683551095</v>
      </c>
      <c r="K42" s="465">
        <v>32.673033491174884</v>
      </c>
      <c r="L42" s="465">
        <v>32.185325946659603</v>
      </c>
      <c r="M42" s="465">
        <v>33.441793110199484</v>
      </c>
      <c r="N42" s="465">
        <v>33.354266168627085</v>
      </c>
      <c r="O42" s="465">
        <v>33.987851805130816</v>
      </c>
      <c r="P42" s="465">
        <v>33.617157123080595</v>
      </c>
      <c r="Q42" s="465">
        <v>33.556552078472315</v>
      </c>
      <c r="R42" s="465">
        <v>33.728751238388725</v>
      </c>
    </row>
    <row r="43" spans="2:27" ht="13.5" customHeight="1">
      <c r="B43" s="464" t="s">
        <v>991</v>
      </c>
      <c r="C43" s="464" t="s">
        <v>991</v>
      </c>
      <c r="D43" s="465">
        <v>17.171094442555351</v>
      </c>
      <c r="E43" s="465">
        <v>19.268803535440991</v>
      </c>
      <c r="F43" s="465">
        <v>18.214998329037428</v>
      </c>
      <c r="G43" s="465">
        <v>17.884193712532543</v>
      </c>
      <c r="H43" s="465">
        <v>17.543248948308403</v>
      </c>
      <c r="I43" s="465">
        <v>19.453180810529787</v>
      </c>
      <c r="J43" s="465">
        <v>20.730228596763808</v>
      </c>
      <c r="K43" s="465">
        <v>19.912727991534929</v>
      </c>
      <c r="L43" s="465">
        <v>18.880887661551242</v>
      </c>
      <c r="M43" s="465" t="s">
        <v>145</v>
      </c>
      <c r="N43" s="465" t="s">
        <v>145</v>
      </c>
      <c r="O43" s="465" t="s">
        <v>145</v>
      </c>
      <c r="P43" s="465" t="s">
        <v>145</v>
      </c>
      <c r="Q43" s="465" t="s">
        <v>145</v>
      </c>
      <c r="R43" s="465" t="s">
        <v>145</v>
      </c>
    </row>
    <row r="44" spans="2:27" ht="13.5" customHeight="1">
      <c r="B44" s="464" t="s">
        <v>992</v>
      </c>
      <c r="C44" s="464" t="s">
        <v>992</v>
      </c>
      <c r="D44" s="465">
        <v>22.186011342924953</v>
      </c>
      <c r="E44" s="465">
        <v>22.182205285206251</v>
      </c>
      <c r="F44" s="465">
        <v>21.349745135521626</v>
      </c>
      <c r="G44" s="465">
        <v>21.521650354531303</v>
      </c>
      <c r="H44" s="465">
        <v>21.352210886265098</v>
      </c>
      <c r="I44" s="465">
        <v>21.823202644866004</v>
      </c>
      <c r="J44" s="465">
        <v>25.341669791959731</v>
      </c>
      <c r="K44" s="465">
        <v>27.264325803254767</v>
      </c>
      <c r="L44" s="465">
        <v>25.583482329488305</v>
      </c>
      <c r="M44" s="465">
        <v>23.561009920050509</v>
      </c>
      <c r="N44" s="465">
        <v>23.668647035650984</v>
      </c>
      <c r="O44" s="465">
        <v>23.776608274727533</v>
      </c>
      <c r="P44" s="465">
        <v>23.810900670177467</v>
      </c>
      <c r="Q44" s="465">
        <v>23.937099474236238</v>
      </c>
      <c r="R44" s="465">
        <v>23.949918749566894</v>
      </c>
    </row>
    <row r="45" spans="2:27">
      <c r="B45" s="464" t="s">
        <v>993</v>
      </c>
      <c r="C45" s="464" t="s">
        <v>993</v>
      </c>
      <c r="D45" s="465">
        <v>33.064267968676631</v>
      </c>
      <c r="E45" s="465">
        <v>33.195827308457389</v>
      </c>
      <c r="F45" s="465">
        <v>34.843107084943078</v>
      </c>
      <c r="G45" s="465">
        <v>33.351959605076772</v>
      </c>
      <c r="H45" s="465">
        <v>34.609304063955456</v>
      </c>
      <c r="I45" s="465">
        <v>35.716063663993026</v>
      </c>
      <c r="J45" s="465">
        <v>33.976244222051918</v>
      </c>
      <c r="K45" s="465">
        <v>31.20575932500148</v>
      </c>
      <c r="L45" s="465">
        <v>28.041754412846981</v>
      </c>
      <c r="M45" s="465">
        <v>34.125084707549568</v>
      </c>
      <c r="N45" s="465">
        <v>33.607236890417845</v>
      </c>
      <c r="O45" s="465">
        <v>33.628501957582216</v>
      </c>
      <c r="P45" s="465">
        <v>33.609354871519429</v>
      </c>
      <c r="Q45" s="465">
        <v>33.578576928082448</v>
      </c>
      <c r="R45" s="465">
        <v>33.863678368115366</v>
      </c>
    </row>
    <row r="46" spans="2:27">
      <c r="B46" s="464" t="s">
        <v>994</v>
      </c>
      <c r="C46" s="464" t="s">
        <v>994</v>
      </c>
      <c r="D46" s="465">
        <v>44.773891126073543</v>
      </c>
      <c r="E46" s="465">
        <v>43.04349781345195</v>
      </c>
      <c r="F46" s="465">
        <v>40.785342169820787</v>
      </c>
      <c r="G46" s="465">
        <v>41.6463384338876</v>
      </c>
      <c r="H46" s="465">
        <v>41.921486509222532</v>
      </c>
      <c r="I46" s="465">
        <v>41.502933496736901</v>
      </c>
      <c r="J46" s="465">
        <v>45.600158387828735</v>
      </c>
      <c r="K46" s="465">
        <v>40.265526329254811</v>
      </c>
      <c r="L46" s="465">
        <v>69.919740461345711</v>
      </c>
      <c r="M46" s="465">
        <v>67.733165254277196</v>
      </c>
      <c r="N46" s="465" t="s">
        <v>145</v>
      </c>
      <c r="O46" s="465" t="s">
        <v>145</v>
      </c>
      <c r="P46" s="465" t="s">
        <v>145</v>
      </c>
      <c r="Q46" s="465" t="s">
        <v>145</v>
      </c>
      <c r="R46" s="465" t="s">
        <v>145</v>
      </c>
      <c r="T46" s="471"/>
      <c r="U46" s="472"/>
      <c r="V46" s="472"/>
      <c r="W46" s="472"/>
      <c r="X46" s="472"/>
      <c r="Y46" s="472"/>
      <c r="Z46" s="472"/>
      <c r="AA46" s="472"/>
    </row>
    <row r="47" spans="2:27">
      <c r="B47" s="464" t="s">
        <v>995</v>
      </c>
      <c r="C47" s="464" t="s">
        <v>995</v>
      </c>
      <c r="D47" s="465">
        <v>32.249975080077483</v>
      </c>
      <c r="E47" s="465">
        <v>27.238508275273727</v>
      </c>
      <c r="F47" s="465">
        <v>32.774645600136424</v>
      </c>
      <c r="G47" s="465">
        <v>28.136130727229492</v>
      </c>
      <c r="H47" s="465">
        <v>26.69170756788105</v>
      </c>
      <c r="I47" s="465">
        <v>28.448957836667649</v>
      </c>
      <c r="J47" s="465">
        <v>31.130747492828881</v>
      </c>
      <c r="K47" s="465">
        <v>26.400116818382763</v>
      </c>
      <c r="L47" s="465">
        <v>26.404257628870049</v>
      </c>
      <c r="M47" s="465">
        <v>28.617858992007594</v>
      </c>
      <c r="N47" s="465">
        <v>28.370093005814841</v>
      </c>
      <c r="O47" s="465">
        <v>28.32089899474175</v>
      </c>
      <c r="P47" s="465">
        <v>28.24747022002747</v>
      </c>
      <c r="Q47" s="465">
        <v>28.164453106095031</v>
      </c>
      <c r="R47" s="465">
        <v>28.117256811372282</v>
      </c>
    </row>
    <row r="48" spans="2:27">
      <c r="B48" s="464" t="s">
        <v>1018</v>
      </c>
      <c r="C48" s="464" t="s">
        <v>997</v>
      </c>
      <c r="D48" s="465">
        <v>29.219712751725819</v>
      </c>
      <c r="E48" s="465">
        <v>28.471919873193002</v>
      </c>
      <c r="F48" s="465">
        <v>29.794516100542396</v>
      </c>
      <c r="G48" s="465">
        <v>30.084765144148882</v>
      </c>
      <c r="H48" s="465">
        <v>30.732212100783606</v>
      </c>
      <c r="I48" s="465">
        <v>31.070152908409675</v>
      </c>
      <c r="J48" s="465">
        <v>32.792678785638714</v>
      </c>
      <c r="K48" s="465">
        <v>30.918686102888621</v>
      </c>
      <c r="L48" s="465">
        <v>29.465880150930285</v>
      </c>
      <c r="M48" s="465">
        <v>28.873035334989815</v>
      </c>
      <c r="N48" s="465">
        <v>29.126500473634167</v>
      </c>
      <c r="O48" s="465">
        <v>29.023203265268403</v>
      </c>
      <c r="P48" s="465">
        <v>28.978233958074252</v>
      </c>
      <c r="Q48" s="465">
        <v>28.842523340816822</v>
      </c>
      <c r="R48" s="465">
        <v>28.634247404582819</v>
      </c>
    </row>
    <row r="49" spans="2:18">
      <c r="B49" s="466" t="s">
        <v>998</v>
      </c>
      <c r="C49" s="466" t="s">
        <v>998</v>
      </c>
      <c r="D49" s="467">
        <v>31.606582962621708</v>
      </c>
      <c r="E49" s="467">
        <v>22.948378086079039</v>
      </c>
      <c r="F49" s="467">
        <v>19.685883043118917</v>
      </c>
      <c r="G49" s="467">
        <v>21.766198698058471</v>
      </c>
      <c r="H49" s="467">
        <v>36.669858458230543</v>
      </c>
      <c r="I49" s="467">
        <v>18.724884715964414</v>
      </c>
      <c r="J49" s="467">
        <v>9.3115140768513989</v>
      </c>
      <c r="K49" s="467">
        <v>10.547867635317278</v>
      </c>
      <c r="L49" s="467">
        <v>11.98544934265715</v>
      </c>
      <c r="M49" s="467" t="s">
        <v>145</v>
      </c>
      <c r="N49" s="467" t="s">
        <v>145</v>
      </c>
      <c r="O49" s="467" t="s">
        <v>145</v>
      </c>
      <c r="P49" s="467" t="s">
        <v>145</v>
      </c>
      <c r="Q49" s="467" t="s">
        <v>145</v>
      </c>
      <c r="R49" s="467" t="s">
        <v>145</v>
      </c>
    </row>
    <row r="50" spans="2:18" ht="6" customHeight="1">
      <c r="B50" s="464"/>
      <c r="C50" s="464"/>
      <c r="D50" s="465"/>
      <c r="E50" s="465"/>
      <c r="F50" s="465"/>
      <c r="G50" s="465"/>
      <c r="H50" s="465"/>
      <c r="I50" s="465"/>
      <c r="J50" s="465"/>
      <c r="K50" s="465"/>
      <c r="L50" s="465"/>
      <c r="M50" s="465"/>
      <c r="N50" s="465"/>
      <c r="O50" s="465"/>
      <c r="P50" s="465"/>
      <c r="Q50" s="465"/>
      <c r="R50" s="465"/>
    </row>
    <row r="51" spans="2:18" ht="12" customHeight="1">
      <c r="B51" s="613" t="s">
        <v>927</v>
      </c>
      <c r="C51" s="613"/>
      <c r="D51" s="613"/>
      <c r="E51" s="613"/>
      <c r="F51" s="613"/>
      <c r="G51" s="613"/>
      <c r="H51" s="613"/>
      <c r="I51" s="613"/>
      <c r="J51" s="613"/>
      <c r="K51" s="613"/>
      <c r="L51" s="613"/>
      <c r="M51" s="613"/>
      <c r="N51" s="613"/>
      <c r="O51" s="613"/>
      <c r="P51" s="613"/>
      <c r="Q51" s="468"/>
      <c r="R51" s="468"/>
    </row>
    <row r="52" spans="2:18" ht="15.75" customHeight="1">
      <c r="B52" s="613" t="s">
        <v>999</v>
      </c>
      <c r="C52" s="613"/>
      <c r="D52" s="613"/>
      <c r="E52" s="613"/>
      <c r="F52" s="613"/>
      <c r="G52" s="613"/>
      <c r="H52" s="613"/>
      <c r="I52" s="613"/>
      <c r="J52" s="613"/>
      <c r="K52" s="613"/>
      <c r="L52" s="613"/>
      <c r="M52" s="613"/>
      <c r="N52" s="613"/>
      <c r="O52" s="613"/>
      <c r="P52" s="613"/>
      <c r="Q52" s="613"/>
      <c r="R52" s="510"/>
    </row>
    <row r="53" spans="2:18" ht="15.75" customHeight="1">
      <c r="B53" s="618" t="s">
        <v>1021</v>
      </c>
      <c r="C53" s="618"/>
      <c r="D53" s="618"/>
      <c r="E53" s="618"/>
      <c r="F53" s="618"/>
      <c r="G53" s="618"/>
      <c r="H53" s="618"/>
      <c r="I53" s="618"/>
      <c r="J53" s="618"/>
      <c r="K53" s="618"/>
      <c r="L53" s="618"/>
      <c r="M53" s="618"/>
      <c r="N53" s="618"/>
      <c r="O53" s="618"/>
      <c r="P53" s="618"/>
      <c r="Q53" s="618"/>
      <c r="R53" s="618"/>
    </row>
    <row r="54" spans="2:18" ht="51.75" customHeight="1">
      <c r="B54" s="618" t="s">
        <v>1022</v>
      </c>
      <c r="C54" s="618"/>
      <c r="D54" s="618"/>
      <c r="E54" s="618"/>
      <c r="F54" s="618"/>
      <c r="G54" s="618"/>
      <c r="H54" s="618"/>
      <c r="I54" s="618"/>
      <c r="J54" s="618"/>
      <c r="K54" s="618"/>
      <c r="L54" s="618"/>
      <c r="M54" s="618"/>
      <c r="N54" s="618"/>
      <c r="O54" s="618"/>
      <c r="P54" s="618"/>
      <c r="Q54" s="618"/>
      <c r="R54" s="618"/>
    </row>
    <row r="55" spans="2:18" ht="54.75" customHeight="1">
      <c r="B55" s="464"/>
      <c r="C55" s="464"/>
      <c r="D55" s="469"/>
      <c r="E55" s="469"/>
      <c r="F55" s="469"/>
      <c r="G55" s="469"/>
      <c r="H55" s="469"/>
      <c r="I55" s="469"/>
      <c r="J55" s="469"/>
      <c r="K55" s="469"/>
      <c r="L55" s="469"/>
      <c r="M55" s="469"/>
      <c r="N55" s="469"/>
      <c r="O55" s="469"/>
      <c r="P55" s="469"/>
      <c r="Q55" s="469"/>
      <c r="R55" s="469"/>
    </row>
    <row r="56" spans="2:18" ht="54.6" customHeight="1">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sheetData>
  <mergeCells count="6">
    <mergeCell ref="B54:R54"/>
    <mergeCell ref="B2:R2"/>
    <mergeCell ref="B3:R3"/>
    <mergeCell ref="B51:P51"/>
    <mergeCell ref="B52:Q52"/>
    <mergeCell ref="B53:R53"/>
  </mergeCells>
  <conditionalFormatting sqref="B22">
    <cfRule type="expression" dxfId="26" priority="7">
      <formula>MOD(ROW(),2)=0</formula>
    </cfRule>
  </conditionalFormatting>
  <conditionalFormatting sqref="B11:R49">
    <cfRule type="expression" dxfId="25" priority="1">
      <formula>MOD(ROW(),2)=0</formula>
    </cfRule>
  </conditionalFormatting>
  <pageMargins left="0.7" right="0.7" top="0.75" bottom="0.75" header="0.3" footer="0.3"/>
  <pageSetup scale="1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153FD-70B5-472E-A9FA-72E4691C6AC0}">
  <sheetPr codeName="Sheet18">
    <pageSetUpPr fitToPage="1"/>
  </sheetPr>
  <dimension ref="A1:AH75"/>
  <sheetViews>
    <sheetView zoomScale="140" zoomScaleNormal="140" workbookViewId="0">
      <pane xSplit="3" ySplit="4" topLeftCell="J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17.5703125" style="451" customWidth="1"/>
    <col min="3" max="3" width="20.5703125" style="451" hidden="1" customWidth="1" outlineLevel="1"/>
    <col min="4" max="4" width="9.85546875" style="452" customWidth="1" collapsed="1"/>
    <col min="5" max="18" width="9.85546875" style="452" customWidth="1"/>
    <col min="19" max="19" width="9.140625" style="496"/>
    <col min="20" max="20" width="0" style="496" hidden="1" customWidth="1"/>
    <col min="21" max="34" width="9.140625" style="496"/>
    <col min="35" max="16384" width="9.140625" style="451"/>
  </cols>
  <sheetData>
    <row r="1" spans="2:21">
      <c r="U1" s="497"/>
    </row>
    <row r="2" spans="2:21">
      <c r="B2" s="616" t="str">
        <f>"Table A15. Emerging Market and Middle-Income Economies: General Government Gross Debt, "&amp;D4&amp;"–"&amp;RIGHT(R4,2)</f>
        <v>Table A15. Emerging Market and Middle-Income Economies: General Government Gross Debt, 2014–28</v>
      </c>
      <c r="C2" s="616"/>
      <c r="D2" s="616"/>
      <c r="E2" s="616"/>
      <c r="F2" s="616"/>
      <c r="G2" s="616"/>
      <c r="H2" s="616"/>
      <c r="I2" s="616"/>
      <c r="J2" s="616"/>
      <c r="K2" s="616"/>
      <c r="L2" s="616"/>
      <c r="M2" s="616"/>
      <c r="N2" s="616"/>
      <c r="O2" s="616"/>
      <c r="P2" s="616"/>
      <c r="Q2" s="616"/>
      <c r="R2" s="616"/>
      <c r="T2" s="490" t="s">
        <v>966</v>
      </c>
      <c r="U2" s="489"/>
    </row>
    <row r="3" spans="2:21">
      <c r="B3" s="619" t="s">
        <v>81</v>
      </c>
      <c r="C3" s="620"/>
      <c r="D3" s="620"/>
      <c r="E3" s="620"/>
      <c r="F3" s="620"/>
      <c r="G3" s="620"/>
      <c r="H3" s="620"/>
      <c r="I3" s="620"/>
      <c r="J3" s="620"/>
      <c r="K3" s="620"/>
      <c r="L3" s="620"/>
      <c r="M3" s="620"/>
      <c r="N3" s="620"/>
      <c r="O3" s="620"/>
      <c r="P3" s="620"/>
      <c r="Q3" s="620"/>
      <c r="R3" s="620"/>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5" customHeight="1">
      <c r="B5" s="459" t="s">
        <v>951</v>
      </c>
      <c r="C5" s="491" t="s">
        <v>967</v>
      </c>
      <c r="D5" s="461">
        <v>40.587956407912408</v>
      </c>
      <c r="E5" s="461">
        <v>44.425840864246638</v>
      </c>
      <c r="F5" s="461">
        <v>49.985034026375452</v>
      </c>
      <c r="G5" s="461">
        <v>52.100788383871404</v>
      </c>
      <c r="H5" s="461">
        <v>53.455612675119411</v>
      </c>
      <c r="I5" s="461">
        <v>55.992632778078267</v>
      </c>
      <c r="J5" s="461">
        <v>65.996962380859884</v>
      </c>
      <c r="K5" s="461">
        <v>65.335789690040201</v>
      </c>
      <c r="L5" s="461">
        <v>65.700769687525764</v>
      </c>
      <c r="M5" s="461">
        <v>68.840284610986188</v>
      </c>
      <c r="N5" s="461">
        <v>71.389955831357497</v>
      </c>
      <c r="O5" s="461">
        <v>74.041600693313626</v>
      </c>
      <c r="P5" s="461">
        <v>76.4344355737705</v>
      </c>
      <c r="Q5" s="461">
        <v>78.717900582376288</v>
      </c>
      <c r="R5" s="461">
        <v>80.814854580222203</v>
      </c>
    </row>
    <row r="6" spans="2:21" ht="14.1" customHeight="1">
      <c r="B6" s="492" t="s">
        <v>108</v>
      </c>
      <c r="C6" s="491" t="s">
        <v>109</v>
      </c>
      <c r="D6" s="461">
        <v>43.424404400240533</v>
      </c>
      <c r="E6" s="461">
        <v>44.965125546471839</v>
      </c>
      <c r="F6" s="461">
        <v>51.751363364209887</v>
      </c>
      <c r="G6" s="461">
        <v>55.122239223906689</v>
      </c>
      <c r="H6" s="461">
        <v>56.527002311275119</v>
      </c>
      <c r="I6" s="461">
        <v>59.846529051501768</v>
      </c>
      <c r="J6" s="461">
        <v>70.176986587578611</v>
      </c>
      <c r="K6" s="461">
        <v>71.52051907924988</v>
      </c>
      <c r="L6" s="461">
        <v>75.134050819842628</v>
      </c>
      <c r="M6" s="461">
        <v>79.070001444550513</v>
      </c>
      <c r="N6" s="461">
        <v>82.644601598796683</v>
      </c>
      <c r="O6" s="461">
        <v>86.181095427905504</v>
      </c>
      <c r="P6" s="461">
        <v>89.429580852177097</v>
      </c>
      <c r="Q6" s="461">
        <v>92.528426249600528</v>
      </c>
      <c r="R6" s="461">
        <v>95.395257039531529</v>
      </c>
    </row>
    <row r="7" spans="2:21" ht="14.1" customHeight="1">
      <c r="B7" s="492" t="s">
        <v>113</v>
      </c>
      <c r="C7" s="491" t="s">
        <v>114</v>
      </c>
      <c r="D7" s="461">
        <v>28.179791605758624</v>
      </c>
      <c r="E7" s="461">
        <v>30.338686315755226</v>
      </c>
      <c r="F7" s="461">
        <v>31.198908374104455</v>
      </c>
      <c r="G7" s="461">
        <v>29.362481713967657</v>
      </c>
      <c r="H7" s="461">
        <v>28.998232461922068</v>
      </c>
      <c r="I7" s="461">
        <v>28.514307292725881</v>
      </c>
      <c r="J7" s="461">
        <v>37.027507776953719</v>
      </c>
      <c r="K7" s="461">
        <v>34.705997535739741</v>
      </c>
      <c r="L7" s="461">
        <v>32.672524280003223</v>
      </c>
      <c r="M7" s="461">
        <v>36.923325687469585</v>
      </c>
      <c r="N7" s="461">
        <v>37.944767102995613</v>
      </c>
      <c r="O7" s="461">
        <v>38.649334985168473</v>
      </c>
      <c r="P7" s="461">
        <v>38.986627156626376</v>
      </c>
      <c r="Q7" s="461">
        <v>39.242613833360622</v>
      </c>
      <c r="R7" s="461">
        <v>39.205949035076927</v>
      </c>
    </row>
    <row r="8" spans="2:21" ht="14.1" customHeight="1">
      <c r="B8" s="492" t="s">
        <v>117</v>
      </c>
      <c r="C8" s="491" t="s">
        <v>118</v>
      </c>
      <c r="D8" s="461">
        <v>51.618983972435025</v>
      </c>
      <c r="E8" s="461">
        <v>57.632507123323606</v>
      </c>
      <c r="F8" s="461">
        <v>61.315410361983361</v>
      </c>
      <c r="G8" s="461">
        <v>63.592429995103373</v>
      </c>
      <c r="H8" s="461">
        <v>67.399002398806346</v>
      </c>
      <c r="I8" s="461">
        <v>68.251479613291167</v>
      </c>
      <c r="J8" s="461">
        <v>77.293733051351239</v>
      </c>
      <c r="K8" s="461">
        <v>71.931542911473059</v>
      </c>
      <c r="L8" s="461">
        <v>69.733940192487182</v>
      </c>
      <c r="M8" s="461">
        <v>68.583088328983919</v>
      </c>
      <c r="N8" s="461">
        <v>69.312932766117981</v>
      </c>
      <c r="O8" s="461">
        <v>70.07881287361991</v>
      </c>
      <c r="P8" s="461">
        <v>70.29637441546177</v>
      </c>
      <c r="Q8" s="461">
        <v>70.282713853741058</v>
      </c>
      <c r="R8" s="461">
        <v>70.118159836710959</v>
      </c>
    </row>
    <row r="9" spans="2:21" ht="14.1" customHeight="1">
      <c r="B9" s="492" t="s">
        <v>121</v>
      </c>
      <c r="C9" s="491" t="s">
        <v>122</v>
      </c>
      <c r="D9" s="461">
        <v>23.590020522949818</v>
      </c>
      <c r="E9" s="461">
        <v>33.937752387676817</v>
      </c>
      <c r="F9" s="461">
        <v>41.998170108253227</v>
      </c>
      <c r="G9" s="461">
        <v>42.268678739316641</v>
      </c>
      <c r="H9" s="461">
        <v>40.349799439373086</v>
      </c>
      <c r="I9" s="461">
        <v>43.852058933790552</v>
      </c>
      <c r="J9" s="461">
        <v>55.428315028433573</v>
      </c>
      <c r="K9" s="461">
        <v>52.07918414310975</v>
      </c>
      <c r="L9" s="461">
        <v>42.995318886920835</v>
      </c>
      <c r="M9" s="461">
        <v>42.52751188908131</v>
      </c>
      <c r="N9" s="461">
        <v>41.223028582425336</v>
      </c>
      <c r="O9" s="461">
        <v>41.571920287765153</v>
      </c>
      <c r="P9" s="461">
        <v>41.959704581692016</v>
      </c>
      <c r="Q9" s="461">
        <v>42.262209339400968</v>
      </c>
      <c r="R9" s="461">
        <v>42.505134311303621</v>
      </c>
    </row>
    <row r="10" spans="2:21" ht="14.1" customHeight="1">
      <c r="B10" s="493" t="s">
        <v>968</v>
      </c>
      <c r="C10" s="491" t="s">
        <v>103</v>
      </c>
      <c r="D10" s="461">
        <v>40.927608024682328</v>
      </c>
      <c r="E10" s="461">
        <v>43.941184776783601</v>
      </c>
      <c r="F10" s="461">
        <v>50.027318966784854</v>
      </c>
      <c r="G10" s="461">
        <v>53.036299941491222</v>
      </c>
      <c r="H10" s="461">
        <v>54.642035459579724</v>
      </c>
      <c r="I10" s="461">
        <v>57.627387029009235</v>
      </c>
      <c r="J10" s="461">
        <v>67.364144804225219</v>
      </c>
      <c r="K10" s="461">
        <v>67.013108600806859</v>
      </c>
      <c r="L10" s="461">
        <v>68.544875595335711</v>
      </c>
      <c r="M10" s="461">
        <v>72.63793462409275</v>
      </c>
      <c r="N10" s="461">
        <v>75.934878816431507</v>
      </c>
      <c r="O10" s="461">
        <v>79.23165207971094</v>
      </c>
      <c r="P10" s="461">
        <v>82.179289495443484</v>
      </c>
      <c r="Q10" s="461">
        <v>85.008793629391235</v>
      </c>
      <c r="R10" s="461">
        <v>87.61687760535213</v>
      </c>
    </row>
    <row r="11" spans="2:21" ht="15" customHeight="1">
      <c r="B11" s="464" t="s">
        <v>969</v>
      </c>
      <c r="C11" s="464" t="s">
        <v>969</v>
      </c>
      <c r="D11" s="465">
        <v>7.6583201459201558</v>
      </c>
      <c r="E11" s="465">
        <v>8.7333137124337767</v>
      </c>
      <c r="F11" s="465">
        <v>20.438286858175463</v>
      </c>
      <c r="G11" s="465">
        <v>27.241982306925124</v>
      </c>
      <c r="H11" s="465">
        <v>38.36645363483953</v>
      </c>
      <c r="I11" s="465">
        <v>46.046387605145952</v>
      </c>
      <c r="J11" s="465">
        <v>52.009312487466573</v>
      </c>
      <c r="K11" s="465">
        <v>62.821924358021306</v>
      </c>
      <c r="L11" s="465">
        <v>52.396880549424218</v>
      </c>
      <c r="M11" s="465">
        <v>52.232997545296577</v>
      </c>
      <c r="N11" s="465">
        <v>55.363482925072269</v>
      </c>
      <c r="O11" s="465">
        <v>58.865758499749298</v>
      </c>
      <c r="P11" s="465">
        <v>62.31548371823451</v>
      </c>
      <c r="Q11" s="465">
        <v>66.353542519287728</v>
      </c>
      <c r="R11" s="465">
        <v>70.153013811732805</v>
      </c>
    </row>
    <row r="12" spans="2:21" ht="13.5" customHeight="1">
      <c r="B12" s="464" t="s">
        <v>970</v>
      </c>
      <c r="C12" s="464" t="s">
        <v>970</v>
      </c>
      <c r="D12" s="465">
        <v>39.809856914508927</v>
      </c>
      <c r="E12" s="465">
        <v>57.093048224125511</v>
      </c>
      <c r="F12" s="465">
        <v>75.662637315019296</v>
      </c>
      <c r="G12" s="465">
        <v>69.322867576341096</v>
      </c>
      <c r="H12" s="465">
        <v>92.995001210985635</v>
      </c>
      <c r="I12" s="465">
        <v>113.55417481023969</v>
      </c>
      <c r="J12" s="465">
        <v>138.89710101171181</v>
      </c>
      <c r="K12" s="465">
        <v>86.860582413881374</v>
      </c>
      <c r="L12" s="465">
        <v>67.049939610955832</v>
      </c>
      <c r="M12" s="465">
        <v>63.273381628444326</v>
      </c>
      <c r="N12" s="465">
        <v>59.202268673643587</v>
      </c>
      <c r="O12" s="465">
        <v>56.712074020659742</v>
      </c>
      <c r="P12" s="465">
        <v>54.388461321047302</v>
      </c>
      <c r="Q12" s="465">
        <v>51.512161385217027</v>
      </c>
      <c r="R12" s="465">
        <v>49.474175736832144</v>
      </c>
    </row>
    <row r="13" spans="2:21" ht="13.5" customHeight="1">
      <c r="B13" s="464" t="s">
        <v>971</v>
      </c>
      <c r="C13" s="464" t="s">
        <v>971</v>
      </c>
      <c r="D13" s="465">
        <v>44.696850201948308</v>
      </c>
      <c r="E13" s="465">
        <v>52.562643306270537</v>
      </c>
      <c r="F13" s="465">
        <v>53.060179552391276</v>
      </c>
      <c r="G13" s="465">
        <v>57.027841921980574</v>
      </c>
      <c r="H13" s="465">
        <v>85.246310857090748</v>
      </c>
      <c r="I13" s="465">
        <v>88.835021225607719</v>
      </c>
      <c r="J13" s="465">
        <v>102.78970201143218</v>
      </c>
      <c r="K13" s="465">
        <v>80.932468100961401</v>
      </c>
      <c r="L13" s="465">
        <v>84.465629598386968</v>
      </c>
      <c r="M13" s="465">
        <v>76.265878611940693</v>
      </c>
      <c r="N13" s="465">
        <v>73.58090085521269</v>
      </c>
      <c r="O13" s="465">
        <v>73.330787212682296</v>
      </c>
      <c r="P13" s="465">
        <v>70.746294529513037</v>
      </c>
      <c r="Q13" s="465">
        <v>67.870235744197743</v>
      </c>
      <c r="R13" s="465">
        <v>65.449487111709402</v>
      </c>
    </row>
    <row r="14" spans="2:21" ht="13.5" customHeight="1">
      <c r="B14" s="464" t="s">
        <v>972</v>
      </c>
      <c r="C14" s="464" t="s">
        <v>972</v>
      </c>
      <c r="D14" s="465">
        <v>38.790604875819547</v>
      </c>
      <c r="E14" s="465">
        <v>53.006888477235236</v>
      </c>
      <c r="F14" s="465">
        <v>53.481630120226122</v>
      </c>
      <c r="G14" s="465">
        <v>53.159845614365068</v>
      </c>
      <c r="H14" s="465">
        <v>47.51523605764239</v>
      </c>
      <c r="I14" s="465">
        <v>40.99921508682786</v>
      </c>
      <c r="J14" s="465">
        <v>47.493316813695891</v>
      </c>
      <c r="K14" s="465">
        <v>41.182010432374092</v>
      </c>
      <c r="L14" s="465">
        <v>39.752692691149768</v>
      </c>
      <c r="M14" s="465">
        <v>41.448432559435176</v>
      </c>
      <c r="N14" s="465">
        <v>40.347877393971238</v>
      </c>
      <c r="O14" s="465">
        <v>38.706230876758326</v>
      </c>
      <c r="P14" s="465">
        <v>36.964505403039524</v>
      </c>
      <c r="Q14" s="465">
        <v>35.151355380258451</v>
      </c>
      <c r="R14" s="465">
        <v>33.124994020372782</v>
      </c>
    </row>
    <row r="15" spans="2:21" ht="17.25" customHeight="1">
      <c r="B15" s="464" t="s">
        <v>1023</v>
      </c>
      <c r="C15" s="464" t="s">
        <v>119</v>
      </c>
      <c r="D15" s="465">
        <v>62.310017539659178</v>
      </c>
      <c r="E15" s="465">
        <v>72.57297753554154</v>
      </c>
      <c r="F15" s="465">
        <v>78.28594299597836</v>
      </c>
      <c r="G15" s="465">
        <v>83.631880409336603</v>
      </c>
      <c r="H15" s="465">
        <v>85.642192396052423</v>
      </c>
      <c r="I15" s="465">
        <v>87.870093760101966</v>
      </c>
      <c r="J15" s="465">
        <v>96.840353853510507</v>
      </c>
      <c r="K15" s="465">
        <v>90.721779923034944</v>
      </c>
      <c r="L15" s="465">
        <v>85.905899294771515</v>
      </c>
      <c r="M15" s="465">
        <v>88.402585710525997</v>
      </c>
      <c r="N15" s="465">
        <v>91.484909042989244</v>
      </c>
      <c r="O15" s="465">
        <v>93.749055770829642</v>
      </c>
      <c r="P15" s="465">
        <v>95.214880192244976</v>
      </c>
      <c r="Q15" s="465">
        <v>96.011627633583416</v>
      </c>
      <c r="R15" s="465">
        <v>96.21339373980085</v>
      </c>
    </row>
    <row r="16" spans="2:21" ht="16.899999999999999" customHeight="1">
      <c r="B16" s="464" t="s">
        <v>427</v>
      </c>
      <c r="C16" s="464" t="s">
        <v>427</v>
      </c>
      <c r="D16" s="465">
        <v>26.265310279199117</v>
      </c>
      <c r="E16" s="465">
        <v>25.350638877947159</v>
      </c>
      <c r="F16" s="465">
        <v>26.995499664330698</v>
      </c>
      <c r="G16" s="465">
        <v>22.906332318293888</v>
      </c>
      <c r="H16" s="465">
        <v>20.066278122639726</v>
      </c>
      <c r="I16" s="465">
        <v>18.307275328899038</v>
      </c>
      <c r="J16" s="465">
        <v>23.187106225061836</v>
      </c>
      <c r="K16" s="465">
        <v>22.756494054596089</v>
      </c>
      <c r="L16" s="465">
        <v>21.843558922490551</v>
      </c>
      <c r="M16" s="465">
        <v>21.084258651539315</v>
      </c>
      <c r="N16" s="465">
        <v>22.903141561084087</v>
      </c>
      <c r="O16" s="465">
        <v>24.702654927664081</v>
      </c>
      <c r="P16" s="465">
        <v>25.825716546903376</v>
      </c>
      <c r="Q16" s="465">
        <v>26.821217138159987</v>
      </c>
      <c r="R16" s="465">
        <v>27.724827364750986</v>
      </c>
    </row>
    <row r="17" spans="2:24" ht="13.5" customHeight="1">
      <c r="B17" s="464" t="s">
        <v>973</v>
      </c>
      <c r="C17" s="464" t="s">
        <v>973</v>
      </c>
      <c r="D17" s="465">
        <v>15.019747841330497</v>
      </c>
      <c r="E17" s="465">
        <v>17.374659943833457</v>
      </c>
      <c r="F17" s="465">
        <v>21.100504904208275</v>
      </c>
      <c r="G17" s="465">
        <v>23.651638952055354</v>
      </c>
      <c r="H17" s="465">
        <v>25.798028003666346</v>
      </c>
      <c r="I17" s="465">
        <v>28.297729422023593</v>
      </c>
      <c r="J17" s="465">
        <v>32.352588738571988</v>
      </c>
      <c r="K17" s="465">
        <v>36.303299752642857</v>
      </c>
      <c r="L17" s="465">
        <v>37.97683456844382</v>
      </c>
      <c r="M17" s="465">
        <v>36.624165652033433</v>
      </c>
      <c r="N17" s="465">
        <v>38.497336284816235</v>
      </c>
      <c r="O17" s="465">
        <v>39.437428605815278</v>
      </c>
      <c r="P17" s="465">
        <v>39.85094153897024</v>
      </c>
      <c r="Q17" s="465">
        <v>39.342474831180432</v>
      </c>
      <c r="R17" s="465">
        <v>38.522657516540448</v>
      </c>
    </row>
    <row r="18" spans="2:24" ht="14.25" customHeight="1">
      <c r="B18" s="464" t="s">
        <v>110</v>
      </c>
      <c r="C18" s="464" t="s">
        <v>111</v>
      </c>
      <c r="D18" s="465">
        <v>39.969241127480068</v>
      </c>
      <c r="E18" s="465">
        <v>41.488823753768536</v>
      </c>
      <c r="F18" s="465">
        <v>50.700901426906512</v>
      </c>
      <c r="G18" s="465">
        <v>54.950620481767729</v>
      </c>
      <c r="H18" s="465">
        <v>56.659269463227801</v>
      </c>
      <c r="I18" s="465">
        <v>60.403606474544979</v>
      </c>
      <c r="J18" s="465">
        <v>70.137468125018685</v>
      </c>
      <c r="K18" s="465">
        <v>71.835980937370138</v>
      </c>
      <c r="L18" s="465">
        <v>77.097111920230333</v>
      </c>
      <c r="M18" s="465">
        <v>82.43432411157653</v>
      </c>
      <c r="N18" s="465">
        <v>87.154507076406546</v>
      </c>
      <c r="O18" s="465">
        <v>92.005527646901513</v>
      </c>
      <c r="P18" s="465">
        <v>96.49279193815245</v>
      </c>
      <c r="Q18" s="465">
        <v>100.79868446424456</v>
      </c>
      <c r="R18" s="465">
        <v>104.85268869608471</v>
      </c>
    </row>
    <row r="19" spans="2:24" ht="13.5" customHeight="1">
      <c r="B19" s="464" t="s">
        <v>480</v>
      </c>
      <c r="C19" s="464" t="s">
        <v>480</v>
      </c>
      <c r="D19" s="465">
        <v>43.318836968400568</v>
      </c>
      <c r="E19" s="465">
        <v>50.419098047190161</v>
      </c>
      <c r="F19" s="465">
        <v>49.796316819874811</v>
      </c>
      <c r="G19" s="465">
        <v>49.436312787612756</v>
      </c>
      <c r="H19" s="465">
        <v>53.584095411832564</v>
      </c>
      <c r="I19" s="465">
        <v>52.400954696490786</v>
      </c>
      <c r="J19" s="465">
        <v>65.722041515694343</v>
      </c>
      <c r="K19" s="465">
        <v>64.041782282636802</v>
      </c>
      <c r="L19" s="465">
        <v>63.62620176718076</v>
      </c>
      <c r="M19" s="465">
        <v>61.973598209075767</v>
      </c>
      <c r="N19" s="465">
        <v>61.099091016302964</v>
      </c>
      <c r="O19" s="465">
        <v>60.943898055578785</v>
      </c>
      <c r="P19" s="465">
        <v>60.080108423237853</v>
      </c>
      <c r="Q19" s="465">
        <v>59.168037971380727</v>
      </c>
      <c r="R19" s="465">
        <v>58.305930480243084</v>
      </c>
    </row>
    <row r="20" spans="2:24" ht="13.5" customHeight="1">
      <c r="B20" s="464" t="s">
        <v>975</v>
      </c>
      <c r="C20" s="464" t="s">
        <v>975</v>
      </c>
      <c r="D20" s="465">
        <v>44.911063170027802</v>
      </c>
      <c r="E20" s="465">
        <v>44.68747372010327</v>
      </c>
      <c r="F20" s="465">
        <v>46.591338043717421</v>
      </c>
      <c r="G20" s="465">
        <v>48.906423787152484</v>
      </c>
      <c r="H20" s="465">
        <v>50.465283013193442</v>
      </c>
      <c r="I20" s="465">
        <v>53.579250817847537</v>
      </c>
      <c r="J20" s="465">
        <v>71.540300297882126</v>
      </c>
      <c r="K20" s="465">
        <v>63.226366136837221</v>
      </c>
      <c r="L20" s="465">
        <v>58.91878020849223</v>
      </c>
      <c r="M20" s="465">
        <v>58.301936022081144</v>
      </c>
      <c r="N20" s="465">
        <v>57.95401353329617</v>
      </c>
      <c r="O20" s="465">
        <v>57.256081568434105</v>
      </c>
      <c r="P20" s="465">
        <v>56.528661872851849</v>
      </c>
      <c r="Q20" s="465">
        <v>55.687351337871085</v>
      </c>
      <c r="R20" s="465">
        <v>54.766506383287314</v>
      </c>
    </row>
    <row r="21" spans="2:24" ht="16.899999999999999" customHeight="1">
      <c r="B21" s="464" t="s">
        <v>1024</v>
      </c>
      <c r="C21" s="464" t="s">
        <v>977</v>
      </c>
      <c r="D21" s="465">
        <v>27.972894389522413</v>
      </c>
      <c r="E21" s="465">
        <v>35.217582387917517</v>
      </c>
      <c r="F21" s="465">
        <v>44.582914862978129</v>
      </c>
      <c r="G21" s="465">
        <v>47.030465373834964</v>
      </c>
      <c r="H21" s="465">
        <v>49.053545647042682</v>
      </c>
      <c r="I21" s="465">
        <v>51.411458888177378</v>
      </c>
      <c r="J21" s="465">
        <v>60.902604397022444</v>
      </c>
      <c r="K21" s="465">
        <v>62.276656236839536</v>
      </c>
      <c r="L21" s="465">
        <v>57.303274381021794</v>
      </c>
      <c r="M21" s="465" t="s">
        <v>145</v>
      </c>
      <c r="N21" s="465" t="s">
        <v>145</v>
      </c>
      <c r="O21" s="465" t="s">
        <v>145</v>
      </c>
      <c r="P21" s="465" t="s">
        <v>145</v>
      </c>
      <c r="Q21" s="465" t="s">
        <v>145</v>
      </c>
      <c r="R21" s="465" t="s">
        <v>145</v>
      </c>
    </row>
    <row r="22" spans="2:24" ht="15.75" customHeight="1">
      <c r="B22" s="464" t="s">
        <v>978</v>
      </c>
      <c r="C22" s="464" t="s">
        <v>978</v>
      </c>
      <c r="D22" s="465">
        <v>80.874041034790366</v>
      </c>
      <c r="E22" s="465">
        <v>83.753677183995038</v>
      </c>
      <c r="F22" s="465">
        <v>91.58629840427389</v>
      </c>
      <c r="G22" s="465">
        <v>97.800322765939981</v>
      </c>
      <c r="H22" s="465">
        <v>87.94908062234795</v>
      </c>
      <c r="I22" s="465">
        <v>80.092065761258041</v>
      </c>
      <c r="J22" s="465">
        <v>86.222475051197861</v>
      </c>
      <c r="K22" s="465">
        <v>89.902601341717812</v>
      </c>
      <c r="L22" s="465">
        <v>88.5335268223226</v>
      </c>
      <c r="M22" s="465">
        <v>92.936695487320463</v>
      </c>
      <c r="N22" s="465">
        <v>87.043543770662296</v>
      </c>
      <c r="O22" s="465">
        <v>85.416903827464324</v>
      </c>
      <c r="P22" s="465">
        <v>83.394200203171224</v>
      </c>
      <c r="Q22" s="465">
        <v>80.820306350051325</v>
      </c>
      <c r="R22" s="465">
        <v>78.049740849253908</v>
      </c>
    </row>
    <row r="23" spans="2:24" ht="13.5" customHeight="1">
      <c r="B23" s="464" t="s">
        <v>450</v>
      </c>
      <c r="C23" s="464" t="s">
        <v>450</v>
      </c>
      <c r="D23" s="465">
        <v>76.541945642129946</v>
      </c>
      <c r="E23" s="465">
        <v>75.760482282776309</v>
      </c>
      <c r="F23" s="465">
        <v>74.850435000008005</v>
      </c>
      <c r="G23" s="465">
        <v>72.113785452574547</v>
      </c>
      <c r="H23" s="465">
        <v>69.078459661412609</v>
      </c>
      <c r="I23" s="465">
        <v>65.329479374414632</v>
      </c>
      <c r="J23" s="465">
        <v>79.296562848870806</v>
      </c>
      <c r="K23" s="465">
        <v>76.827386845097152</v>
      </c>
      <c r="L23" s="465">
        <v>76.350855694898286</v>
      </c>
      <c r="M23" s="465">
        <v>73.197305706276495</v>
      </c>
      <c r="N23" s="465">
        <v>69.96554281435057</v>
      </c>
      <c r="O23" s="465">
        <v>68.21190231215185</v>
      </c>
      <c r="P23" s="465">
        <v>66.089308182160849</v>
      </c>
      <c r="Q23" s="465">
        <v>64.138970383034334</v>
      </c>
      <c r="R23" s="465">
        <v>61.311177198824431</v>
      </c>
    </row>
    <row r="24" spans="2:24" ht="13.5" customHeight="1">
      <c r="B24" s="464" t="s">
        <v>112</v>
      </c>
      <c r="C24" s="464" t="s">
        <v>112</v>
      </c>
      <c r="D24" s="465">
        <v>67.102041059826618</v>
      </c>
      <c r="E24" s="465">
        <v>69.048587042645622</v>
      </c>
      <c r="F24" s="465">
        <v>68.943091371390494</v>
      </c>
      <c r="G24" s="465">
        <v>69.669382586151357</v>
      </c>
      <c r="H24" s="465">
        <v>70.392344440794474</v>
      </c>
      <c r="I24" s="465">
        <v>75.040396296631599</v>
      </c>
      <c r="J24" s="465">
        <v>88.534388026180622</v>
      </c>
      <c r="K24" s="465">
        <v>84.684098750607234</v>
      </c>
      <c r="L24" s="465">
        <v>83.126034327878742</v>
      </c>
      <c r="M24" s="465">
        <v>83.248966254995864</v>
      </c>
      <c r="N24" s="465">
        <v>83.715611189969735</v>
      </c>
      <c r="O24" s="465">
        <v>83.821775154014148</v>
      </c>
      <c r="P24" s="465">
        <v>83.752157121278572</v>
      </c>
      <c r="Q24" s="465">
        <v>83.747751226763981</v>
      </c>
      <c r="R24" s="465">
        <v>83.562664706633043</v>
      </c>
    </row>
    <row r="25" spans="2:24" ht="13.5" customHeight="1">
      <c r="B25" s="464" t="s">
        <v>281</v>
      </c>
      <c r="C25" s="464" t="s">
        <v>281</v>
      </c>
      <c r="D25" s="465">
        <v>24.681631265084373</v>
      </c>
      <c r="E25" s="465">
        <v>27.013303956079159</v>
      </c>
      <c r="F25" s="465">
        <v>27.95546087755066</v>
      </c>
      <c r="G25" s="465">
        <v>29.395537141336554</v>
      </c>
      <c r="H25" s="465">
        <v>30.422723351615794</v>
      </c>
      <c r="I25" s="465">
        <v>30.563454692733956</v>
      </c>
      <c r="J25" s="465">
        <v>39.747125573304828</v>
      </c>
      <c r="K25" s="465">
        <v>41.140454240826955</v>
      </c>
      <c r="L25" s="465">
        <v>39.933756843893526</v>
      </c>
      <c r="M25" s="465">
        <v>39.101450224921336</v>
      </c>
      <c r="N25" s="465">
        <v>38.781351464853984</v>
      </c>
      <c r="O25" s="465">
        <v>38.509543699943769</v>
      </c>
      <c r="P25" s="465">
        <v>38.14618621367763</v>
      </c>
      <c r="Q25" s="465">
        <v>37.756337801157173</v>
      </c>
      <c r="R25" s="465">
        <v>37.299498912589449</v>
      </c>
    </row>
    <row r="26" spans="2:24" ht="13.5" customHeight="1">
      <c r="B26" s="464" t="s">
        <v>979</v>
      </c>
      <c r="C26" s="464" t="s">
        <v>979</v>
      </c>
      <c r="D26" s="465">
        <v>12.587420314115588</v>
      </c>
      <c r="E26" s="465">
        <v>37.022932032169976</v>
      </c>
      <c r="F26" s="465">
        <v>47.903905505576908</v>
      </c>
      <c r="G26" s="465">
        <v>45.04430639804356</v>
      </c>
      <c r="H26" s="465">
        <v>42.944226746381865</v>
      </c>
      <c r="I26" s="465">
        <v>46.661009489866323</v>
      </c>
      <c r="J26" s="465">
        <v>48.274277978341502</v>
      </c>
      <c r="K26" s="465">
        <v>42.403909869008409</v>
      </c>
      <c r="L26" s="465">
        <v>34.006482207217147</v>
      </c>
      <c r="M26" s="465">
        <v>32.032955911107905</v>
      </c>
      <c r="N26" s="465">
        <v>32.680497912303466</v>
      </c>
      <c r="O26" s="465">
        <v>34.288759683983685</v>
      </c>
      <c r="P26" s="465">
        <v>35.767837118329219</v>
      </c>
      <c r="Q26" s="465">
        <v>37.174194150179666</v>
      </c>
      <c r="R26" s="465">
        <v>38.085933667027199</v>
      </c>
    </row>
    <row r="27" spans="2:24" ht="13.5" customHeight="1">
      <c r="B27" s="464" t="s">
        <v>980</v>
      </c>
      <c r="C27" s="464" t="s">
        <v>980</v>
      </c>
      <c r="D27" s="465">
        <v>14.496341675455039</v>
      </c>
      <c r="E27" s="465">
        <v>21.881934150496818</v>
      </c>
      <c r="F27" s="465">
        <v>19.677354055078066</v>
      </c>
      <c r="G27" s="465">
        <v>19.869431490485272</v>
      </c>
      <c r="H27" s="465">
        <v>20.258538347560336</v>
      </c>
      <c r="I27" s="465">
        <v>19.943730179898584</v>
      </c>
      <c r="J27" s="465">
        <v>26.357134598700082</v>
      </c>
      <c r="K27" s="465">
        <v>25.100450254434847</v>
      </c>
      <c r="L27" s="465">
        <v>23.497419295024809</v>
      </c>
      <c r="M27" s="465">
        <v>25.932923968796889</v>
      </c>
      <c r="N27" s="465">
        <v>27.031742160176748</v>
      </c>
      <c r="O27" s="465">
        <v>28.992026907886743</v>
      </c>
      <c r="P27" s="465">
        <v>31.394152260822082</v>
      </c>
      <c r="Q27" s="465">
        <v>33.140987788342237</v>
      </c>
      <c r="R27" s="465">
        <v>34.847499124374032</v>
      </c>
    </row>
    <row r="28" spans="2:24" ht="13.5" customHeight="1">
      <c r="B28" s="464" t="s">
        <v>981</v>
      </c>
      <c r="C28" s="464" t="s">
        <v>981</v>
      </c>
      <c r="D28" s="465">
        <v>3.4291890924909896</v>
      </c>
      <c r="E28" s="465">
        <v>4.6534537433586323</v>
      </c>
      <c r="F28" s="465">
        <v>9.9435045340069426</v>
      </c>
      <c r="G28" s="465">
        <v>20.483334698142386</v>
      </c>
      <c r="H28" s="465">
        <v>15.10121293271958</v>
      </c>
      <c r="I28" s="465">
        <v>11.634285863040223</v>
      </c>
      <c r="J28" s="465">
        <v>11.704107041963626</v>
      </c>
      <c r="K28" s="465">
        <v>8.6696835856473733</v>
      </c>
      <c r="L28" s="465">
        <v>2.9229836293483231</v>
      </c>
      <c r="M28" s="465">
        <v>2.9995724026922206</v>
      </c>
      <c r="N28" s="465">
        <v>2.9905668992439391</v>
      </c>
      <c r="O28" s="465">
        <v>6.1034398561312475</v>
      </c>
      <c r="P28" s="465">
        <v>9.6580583781170457</v>
      </c>
      <c r="Q28" s="465">
        <v>11.151124341743564</v>
      </c>
      <c r="R28" s="465">
        <v>15.232063071423813</v>
      </c>
      <c r="T28" s="511"/>
      <c r="U28" s="511"/>
      <c r="V28" s="511"/>
      <c r="W28" s="511"/>
      <c r="X28" s="511"/>
    </row>
    <row r="29" spans="2:24" ht="13.5" customHeight="1">
      <c r="B29" s="464" t="s">
        <v>982</v>
      </c>
      <c r="C29" s="464" t="s">
        <v>982</v>
      </c>
      <c r="D29" s="465">
        <v>138.39926073044245</v>
      </c>
      <c r="E29" s="465">
        <v>140.84072912791626</v>
      </c>
      <c r="F29" s="465">
        <v>146.41073860320341</v>
      </c>
      <c r="G29" s="465">
        <v>149.98686498455072</v>
      </c>
      <c r="H29" s="465">
        <v>155.07587840123725</v>
      </c>
      <c r="I29" s="465">
        <v>172.26544964836151</v>
      </c>
      <c r="J29" s="465">
        <v>150.58307210031347</v>
      </c>
      <c r="K29" s="465" t="s">
        <v>145</v>
      </c>
      <c r="L29" s="465" t="s">
        <v>145</v>
      </c>
      <c r="M29" s="465" t="s">
        <v>145</v>
      </c>
      <c r="N29" s="465" t="s">
        <v>145</v>
      </c>
      <c r="O29" s="465" t="s">
        <v>145</v>
      </c>
      <c r="P29" s="465" t="s">
        <v>145</v>
      </c>
      <c r="Q29" s="465" t="s">
        <v>145</v>
      </c>
      <c r="R29" s="465" t="s">
        <v>145</v>
      </c>
      <c r="T29" s="511"/>
      <c r="U29" s="511"/>
      <c r="V29" s="511"/>
      <c r="W29" s="511"/>
      <c r="X29" s="511"/>
    </row>
    <row r="30" spans="2:24" ht="13.5" customHeight="1">
      <c r="B30" s="464" t="s">
        <v>984</v>
      </c>
      <c r="C30" s="464" t="s">
        <v>984</v>
      </c>
      <c r="D30" s="465">
        <v>55.373067884386359</v>
      </c>
      <c r="E30" s="465">
        <v>56.970771929701655</v>
      </c>
      <c r="F30" s="465">
        <v>55.787490887791201</v>
      </c>
      <c r="G30" s="465">
        <v>54.395544801980613</v>
      </c>
      <c r="H30" s="465">
        <v>55.645963479625074</v>
      </c>
      <c r="I30" s="465">
        <v>57.082521948455053</v>
      </c>
      <c r="J30" s="465">
        <v>67.716502177194641</v>
      </c>
      <c r="K30" s="465">
        <v>69.311078497604456</v>
      </c>
      <c r="L30" s="465">
        <v>66.265014942431534</v>
      </c>
      <c r="M30" s="465">
        <v>67.009995397630675</v>
      </c>
      <c r="N30" s="465">
        <v>67.113560907786109</v>
      </c>
      <c r="O30" s="465">
        <v>67.50045620248838</v>
      </c>
      <c r="P30" s="465">
        <v>68.014336294319747</v>
      </c>
      <c r="Q30" s="465">
        <v>69.048932147529499</v>
      </c>
      <c r="R30" s="465">
        <v>69.968793424056031</v>
      </c>
      <c r="U30" s="511"/>
      <c r="V30" s="511"/>
      <c r="W30" s="511"/>
      <c r="X30" s="511"/>
    </row>
    <row r="31" spans="2:24" ht="13.5" customHeight="1">
      <c r="B31" s="464" t="s">
        <v>120</v>
      </c>
      <c r="C31" s="464" t="s">
        <v>120</v>
      </c>
      <c r="D31" s="465">
        <v>48.852530038063776</v>
      </c>
      <c r="E31" s="465">
        <v>52.774800915990724</v>
      </c>
      <c r="F31" s="465">
        <v>56.724076734864994</v>
      </c>
      <c r="G31" s="465">
        <v>53.962770401784901</v>
      </c>
      <c r="H31" s="465">
        <v>53.649098582556988</v>
      </c>
      <c r="I31" s="465">
        <v>53.337384833130251</v>
      </c>
      <c r="J31" s="465">
        <v>60.111046291999614</v>
      </c>
      <c r="K31" s="465">
        <v>58.671974817474549</v>
      </c>
      <c r="L31" s="465">
        <v>56.028555030513203</v>
      </c>
      <c r="M31" s="465">
        <v>55.591598196715019</v>
      </c>
      <c r="N31" s="465">
        <v>55.78773471715288</v>
      </c>
      <c r="O31" s="465">
        <v>56.31721725555623</v>
      </c>
      <c r="P31" s="465">
        <v>56.922827086242314</v>
      </c>
      <c r="Q31" s="465">
        <v>57.480089325032409</v>
      </c>
      <c r="R31" s="465">
        <v>57.941292478585979</v>
      </c>
      <c r="T31" s="511"/>
      <c r="U31" s="511"/>
      <c r="V31" s="511"/>
      <c r="W31" s="511"/>
      <c r="X31" s="511"/>
    </row>
    <row r="32" spans="2:24" ht="13.5" customHeight="1">
      <c r="B32" s="464" t="s">
        <v>985</v>
      </c>
      <c r="C32" s="464" t="s">
        <v>985</v>
      </c>
      <c r="D32" s="465">
        <v>58.563928048617306</v>
      </c>
      <c r="E32" s="465">
        <v>58.394295991444359</v>
      </c>
      <c r="F32" s="465">
        <v>60.075553187620002</v>
      </c>
      <c r="G32" s="465">
        <v>60.257899982156772</v>
      </c>
      <c r="H32" s="465">
        <v>60.464409987307953</v>
      </c>
      <c r="I32" s="465">
        <v>60.270471255875776</v>
      </c>
      <c r="J32" s="465">
        <v>72.24820139202842</v>
      </c>
      <c r="K32" s="465">
        <v>68.940329586638356</v>
      </c>
      <c r="L32" s="465">
        <v>68.788094701585649</v>
      </c>
      <c r="M32" s="465">
        <v>68.321481731192819</v>
      </c>
      <c r="N32" s="465">
        <v>68.439241349917438</v>
      </c>
      <c r="O32" s="465">
        <v>68.195314945741345</v>
      </c>
      <c r="P32" s="465">
        <v>67.694013415736237</v>
      </c>
      <c r="Q32" s="465">
        <v>66.94179525215209</v>
      </c>
      <c r="R32" s="465">
        <v>66.208411493139167</v>
      </c>
    </row>
    <row r="33" spans="2:18" ht="13.5" customHeight="1">
      <c r="B33" s="464" t="s">
        <v>986</v>
      </c>
      <c r="C33" s="464" t="s">
        <v>986</v>
      </c>
      <c r="D33" s="465">
        <v>4.038680231001698</v>
      </c>
      <c r="E33" s="465">
        <v>13.856574733830907</v>
      </c>
      <c r="F33" s="465">
        <v>29.338065127243429</v>
      </c>
      <c r="G33" s="465">
        <v>40.105691126603659</v>
      </c>
      <c r="H33" s="465">
        <v>44.690990178213809</v>
      </c>
      <c r="I33" s="465">
        <v>52.463820831092974</v>
      </c>
      <c r="J33" s="465">
        <v>69.680855626805155</v>
      </c>
      <c r="K33" s="465">
        <v>61.264498463571002</v>
      </c>
      <c r="L33" s="465">
        <v>40.147915562426348</v>
      </c>
      <c r="M33" s="465">
        <v>42.782966440106861</v>
      </c>
      <c r="N33" s="465">
        <v>40.636889664680901</v>
      </c>
      <c r="O33" s="465">
        <v>39.8390555511101</v>
      </c>
      <c r="P33" s="465">
        <v>38.920905626036543</v>
      </c>
      <c r="Q33" s="465">
        <v>38.352615829984842</v>
      </c>
      <c r="R33" s="465">
        <v>36.762343455570331</v>
      </c>
    </row>
    <row r="34" spans="2:18" ht="15.75" customHeight="1">
      <c r="B34" s="464" t="s">
        <v>987</v>
      </c>
      <c r="C34" s="464" t="s">
        <v>987</v>
      </c>
      <c r="D34" s="465">
        <v>57.051715826533965</v>
      </c>
      <c r="E34" s="465">
        <v>57.020678633708876</v>
      </c>
      <c r="F34" s="465">
        <v>60.808781110592683</v>
      </c>
      <c r="G34" s="465">
        <v>60.855961038360419</v>
      </c>
      <c r="H34" s="465">
        <v>64.819530264707069</v>
      </c>
      <c r="I34" s="465">
        <v>77.504517662711919</v>
      </c>
      <c r="J34" s="465">
        <v>79.558840300714706</v>
      </c>
      <c r="K34" s="465">
        <v>73.561570119887961</v>
      </c>
      <c r="L34" s="465">
        <v>75.75285521261425</v>
      </c>
      <c r="M34" s="465">
        <v>73.5820336704857</v>
      </c>
      <c r="N34" s="465">
        <v>68.907968520047845</v>
      </c>
      <c r="O34" s="465">
        <v>67.829605530309493</v>
      </c>
      <c r="P34" s="465">
        <v>67.614621302808004</v>
      </c>
      <c r="Q34" s="465">
        <v>67.100121808722662</v>
      </c>
      <c r="R34" s="465">
        <v>66.113143414081719</v>
      </c>
    </row>
    <row r="35" spans="2:18" ht="13.5" customHeight="1">
      <c r="B35" s="464" t="s">
        <v>988</v>
      </c>
      <c r="C35" s="464" t="s">
        <v>988</v>
      </c>
      <c r="D35" s="465">
        <v>20.58564426292898</v>
      </c>
      <c r="E35" s="465">
        <v>23.977447904240019</v>
      </c>
      <c r="F35" s="465">
        <v>24.348600579628616</v>
      </c>
      <c r="G35" s="465">
        <v>25.23228042118625</v>
      </c>
      <c r="H35" s="465">
        <v>26.01831454719612</v>
      </c>
      <c r="I35" s="465">
        <v>26.925348568522057</v>
      </c>
      <c r="J35" s="465">
        <v>34.984600287047677</v>
      </c>
      <c r="K35" s="465">
        <v>36.354135213821877</v>
      </c>
      <c r="L35" s="465">
        <v>33.372938017090817</v>
      </c>
      <c r="M35" s="465">
        <v>32.995292450340067</v>
      </c>
      <c r="N35" s="465">
        <v>33.286936264657164</v>
      </c>
      <c r="O35" s="465">
        <v>33.248886460033262</v>
      </c>
      <c r="P35" s="465">
        <v>32.799141856724809</v>
      </c>
      <c r="Q35" s="465">
        <v>32.326846207548115</v>
      </c>
      <c r="R35" s="465">
        <v>31.875454252875553</v>
      </c>
    </row>
    <row r="36" spans="2:18" ht="13.5" customHeight="1">
      <c r="B36" s="464" t="s">
        <v>989</v>
      </c>
      <c r="C36" s="464" t="s">
        <v>989</v>
      </c>
      <c r="D36" s="465">
        <v>40.240237852722849</v>
      </c>
      <c r="E36" s="465">
        <v>39.63994355926291</v>
      </c>
      <c r="F36" s="465">
        <v>37.343323551656773</v>
      </c>
      <c r="G36" s="465">
        <v>38.108352951330552</v>
      </c>
      <c r="H36" s="465">
        <v>37.134016282665755</v>
      </c>
      <c r="I36" s="465">
        <v>36.966504121557563</v>
      </c>
      <c r="J36" s="465">
        <v>51.638037330986272</v>
      </c>
      <c r="K36" s="465">
        <v>56.999365345690315</v>
      </c>
      <c r="L36" s="465">
        <v>57.519704104762425</v>
      </c>
      <c r="M36" s="465">
        <v>56.676606575406851</v>
      </c>
      <c r="N36" s="465">
        <v>56.808125326340566</v>
      </c>
      <c r="O36" s="465">
        <v>56.283047221648218</v>
      </c>
      <c r="P36" s="465">
        <v>55.411575768557817</v>
      </c>
      <c r="Q36" s="465">
        <v>54.082664555312356</v>
      </c>
      <c r="R36" s="465">
        <v>52.551476270173112</v>
      </c>
    </row>
    <row r="37" spans="2:18" ht="13.5" customHeight="1">
      <c r="B37" s="464" t="s">
        <v>426</v>
      </c>
      <c r="C37" s="464" t="s">
        <v>426</v>
      </c>
      <c r="D37" s="465">
        <v>51.389716152805178</v>
      </c>
      <c r="E37" s="465">
        <v>51.344570214269837</v>
      </c>
      <c r="F37" s="465">
        <v>54.501366794357175</v>
      </c>
      <c r="G37" s="465">
        <v>50.797006648194419</v>
      </c>
      <c r="H37" s="465">
        <v>48.705141507914504</v>
      </c>
      <c r="I37" s="465">
        <v>45.701059536241289</v>
      </c>
      <c r="J37" s="465">
        <v>57.174754572028</v>
      </c>
      <c r="K37" s="465">
        <v>53.754657819944953</v>
      </c>
      <c r="L37" s="465">
        <v>49.576978194735659</v>
      </c>
      <c r="M37" s="465">
        <v>50.689332156549227</v>
      </c>
      <c r="N37" s="465">
        <v>51.662070895567545</v>
      </c>
      <c r="O37" s="465">
        <v>52.429544522262908</v>
      </c>
      <c r="P37" s="465">
        <v>53.588713940604769</v>
      </c>
      <c r="Q37" s="465">
        <v>54.123367167523128</v>
      </c>
      <c r="R37" s="465">
        <v>54.531268991036661</v>
      </c>
    </row>
    <row r="38" spans="2:18" ht="13.5" customHeight="1">
      <c r="B38" s="464" t="s">
        <v>990</v>
      </c>
      <c r="C38" s="464" t="s">
        <v>990</v>
      </c>
      <c r="D38" s="465">
        <v>24.91195724284561</v>
      </c>
      <c r="E38" s="465">
        <v>35.546881183830358</v>
      </c>
      <c r="F38" s="465">
        <v>46.706774336643704</v>
      </c>
      <c r="G38" s="465">
        <v>51.568807010902098</v>
      </c>
      <c r="H38" s="465">
        <v>52.177360983112486</v>
      </c>
      <c r="I38" s="465">
        <v>62.087434670729294</v>
      </c>
      <c r="J38" s="465">
        <v>72.610416437237205</v>
      </c>
      <c r="K38" s="465">
        <v>58.407553228087615</v>
      </c>
      <c r="L38" s="465">
        <v>45.308101003722605</v>
      </c>
      <c r="M38" s="465">
        <v>45.502210742906357</v>
      </c>
      <c r="N38" s="465">
        <v>42.94290640317972</v>
      </c>
      <c r="O38" s="465">
        <v>40.36886901457688</v>
      </c>
      <c r="P38" s="465">
        <v>37.877150625551373</v>
      </c>
      <c r="Q38" s="465">
        <v>35.862237576603228</v>
      </c>
      <c r="R38" s="465">
        <v>33.949680990358218</v>
      </c>
    </row>
    <row r="39" spans="2:18" ht="13.5" customHeight="1">
      <c r="B39" s="464" t="s">
        <v>445</v>
      </c>
      <c r="C39" s="464" t="s">
        <v>445</v>
      </c>
      <c r="D39" s="465">
        <v>40.476222512858875</v>
      </c>
      <c r="E39" s="465">
        <v>39.354012863212859</v>
      </c>
      <c r="F39" s="465">
        <v>39.548253435239545</v>
      </c>
      <c r="G39" s="465">
        <v>37.107467100631894</v>
      </c>
      <c r="H39" s="465">
        <v>36.189248498475486</v>
      </c>
      <c r="I39" s="465">
        <v>36.629403834161216</v>
      </c>
      <c r="J39" s="465">
        <v>49.39122902977698</v>
      </c>
      <c r="K39" s="465">
        <v>51.105730913757633</v>
      </c>
      <c r="L39" s="465">
        <v>48.728247216773973</v>
      </c>
      <c r="M39" s="465">
        <v>48.275727192051384</v>
      </c>
      <c r="N39" s="465">
        <v>49.312492934734081</v>
      </c>
      <c r="O39" s="465">
        <v>50.28228957891141</v>
      </c>
      <c r="P39" s="465">
        <v>51.407541211929896</v>
      </c>
      <c r="Q39" s="465">
        <v>52.828572734924272</v>
      </c>
      <c r="R39" s="465">
        <v>54.261317393383734</v>
      </c>
    </row>
    <row r="40" spans="2:18" ht="13.5" customHeight="1">
      <c r="B40" s="464" t="s">
        <v>116</v>
      </c>
      <c r="C40" s="464" t="s">
        <v>116</v>
      </c>
      <c r="D40" s="465">
        <v>15.135831880754145</v>
      </c>
      <c r="E40" s="465">
        <v>15.286412536930991</v>
      </c>
      <c r="F40" s="465">
        <v>14.849320304709043</v>
      </c>
      <c r="G40" s="465">
        <v>14.311064460330215</v>
      </c>
      <c r="H40" s="465">
        <v>13.61960998298699</v>
      </c>
      <c r="I40" s="465">
        <v>13.747518868243372</v>
      </c>
      <c r="J40" s="465">
        <v>19.156116301405746</v>
      </c>
      <c r="K40" s="465">
        <v>16.455024927133081</v>
      </c>
      <c r="L40" s="465">
        <v>19.596816076925712</v>
      </c>
      <c r="M40" s="465">
        <v>24.850459319050803</v>
      </c>
      <c r="N40" s="465">
        <v>25.343495615040233</v>
      </c>
      <c r="O40" s="465">
        <v>25.26891669310853</v>
      </c>
      <c r="P40" s="465">
        <v>24.331742102089635</v>
      </c>
      <c r="Q40" s="465">
        <v>23.208846362516457</v>
      </c>
      <c r="R40" s="465">
        <v>21.544475639571065</v>
      </c>
    </row>
    <row r="41" spans="2:18" ht="13.5" customHeight="1">
      <c r="B41" s="464" t="s">
        <v>123</v>
      </c>
      <c r="C41" s="464" t="s">
        <v>123</v>
      </c>
      <c r="D41" s="465">
        <v>1.540992308604755</v>
      </c>
      <c r="E41" s="465">
        <v>5.6680400610539134</v>
      </c>
      <c r="F41" s="465">
        <v>12.678488631422328</v>
      </c>
      <c r="G41" s="465">
        <v>16.52581707866057</v>
      </c>
      <c r="H41" s="465">
        <v>17.633065790066365</v>
      </c>
      <c r="I41" s="465">
        <v>21.550934612131194</v>
      </c>
      <c r="J41" s="465">
        <v>31.040182051197778</v>
      </c>
      <c r="K41" s="465">
        <v>28.797124082420595</v>
      </c>
      <c r="L41" s="465">
        <v>22.572861446528286</v>
      </c>
      <c r="M41" s="465">
        <v>23.554700043092637</v>
      </c>
      <c r="N41" s="465">
        <v>23.116747594747995</v>
      </c>
      <c r="O41" s="465">
        <v>22.330666808930268</v>
      </c>
      <c r="P41" s="465">
        <v>21.526903284306286</v>
      </c>
      <c r="Q41" s="465">
        <v>20.71435988759907</v>
      </c>
      <c r="R41" s="465">
        <v>19.90327368228969</v>
      </c>
    </row>
    <row r="42" spans="2:18" ht="13.5" customHeight="1">
      <c r="B42" s="464" t="s">
        <v>124</v>
      </c>
      <c r="C42" s="464" t="s">
        <v>124</v>
      </c>
      <c r="D42" s="465">
        <v>43.253384900794003</v>
      </c>
      <c r="E42" s="465">
        <v>45.195466062310544</v>
      </c>
      <c r="F42" s="465">
        <v>47.13404929662542</v>
      </c>
      <c r="G42" s="465">
        <v>48.588207887415024</v>
      </c>
      <c r="H42" s="465">
        <v>51.676753399481356</v>
      </c>
      <c r="I42" s="465">
        <v>56.216678408846988</v>
      </c>
      <c r="J42" s="465">
        <v>68.999567385938533</v>
      </c>
      <c r="K42" s="465">
        <v>68.978426634683871</v>
      </c>
      <c r="L42" s="465">
        <v>71.015746994808651</v>
      </c>
      <c r="M42" s="465">
        <v>72.308726397347982</v>
      </c>
      <c r="N42" s="465">
        <v>74.030973351342936</v>
      </c>
      <c r="O42" s="465">
        <v>77.137522077811028</v>
      </c>
      <c r="P42" s="465">
        <v>79.97593663451795</v>
      </c>
      <c r="Q42" s="465">
        <v>82.442983485868993</v>
      </c>
      <c r="R42" s="465">
        <v>84.869931697566798</v>
      </c>
    </row>
    <row r="43" spans="2:18" ht="13.5" customHeight="1">
      <c r="B43" s="464" t="s">
        <v>991</v>
      </c>
      <c r="C43" s="464" t="s">
        <v>991</v>
      </c>
      <c r="D43" s="465">
        <v>69.560522433199154</v>
      </c>
      <c r="E43" s="465">
        <v>76.3337899313332</v>
      </c>
      <c r="F43" s="465">
        <v>75.000268632936582</v>
      </c>
      <c r="G43" s="465">
        <v>72.260278709200094</v>
      </c>
      <c r="H43" s="465">
        <v>83.584943130292245</v>
      </c>
      <c r="I43" s="465">
        <v>82.594027710913537</v>
      </c>
      <c r="J43" s="465">
        <v>95.695080940770623</v>
      </c>
      <c r="K43" s="465">
        <v>102.24204453204464</v>
      </c>
      <c r="L43" s="465">
        <v>117.66132512263958</v>
      </c>
      <c r="M43" s="465" t="s">
        <v>145</v>
      </c>
      <c r="N43" s="465" t="s">
        <v>145</v>
      </c>
      <c r="O43" s="465" t="s">
        <v>145</v>
      </c>
      <c r="P43" s="465" t="s">
        <v>145</v>
      </c>
      <c r="Q43" s="465" t="s">
        <v>145</v>
      </c>
      <c r="R43" s="465" t="s">
        <v>145</v>
      </c>
    </row>
    <row r="44" spans="2:18" ht="13.5" customHeight="1">
      <c r="B44" s="464" t="s">
        <v>992</v>
      </c>
      <c r="C44" s="464" t="s">
        <v>992</v>
      </c>
      <c r="D44" s="465">
        <v>43.334600263899659</v>
      </c>
      <c r="E44" s="465">
        <v>42.558701233713911</v>
      </c>
      <c r="F44" s="465">
        <v>41.745392200110643</v>
      </c>
      <c r="G44" s="465">
        <v>41.777662241267784</v>
      </c>
      <c r="H44" s="465">
        <v>41.940783855835029</v>
      </c>
      <c r="I44" s="465">
        <v>41.063067533850933</v>
      </c>
      <c r="J44" s="465">
        <v>49.427569077245671</v>
      </c>
      <c r="K44" s="465">
        <v>58.401455542077152</v>
      </c>
      <c r="L44" s="465">
        <v>60.541667291598465</v>
      </c>
      <c r="M44" s="465">
        <v>61.047146249855267</v>
      </c>
      <c r="N44" s="465">
        <v>61.575806309148959</v>
      </c>
      <c r="O44" s="465">
        <v>59.92404440145085</v>
      </c>
      <c r="P44" s="465">
        <v>59.033173886847592</v>
      </c>
      <c r="Q44" s="465">
        <v>58.146372061470586</v>
      </c>
      <c r="R44" s="465">
        <v>57.272821558032703</v>
      </c>
    </row>
    <row r="45" spans="2:18">
      <c r="B45" s="464" t="s">
        <v>993</v>
      </c>
      <c r="C45" s="464" t="s">
        <v>993</v>
      </c>
      <c r="D45" s="465">
        <v>28.434211600514409</v>
      </c>
      <c r="E45" s="465">
        <v>27.327266277090523</v>
      </c>
      <c r="F45" s="465">
        <v>27.919525088886992</v>
      </c>
      <c r="G45" s="465">
        <v>27.941532683112857</v>
      </c>
      <c r="H45" s="465">
        <v>30.065363897283596</v>
      </c>
      <c r="I45" s="465">
        <v>32.61851035355329</v>
      </c>
      <c r="J45" s="465">
        <v>39.650410882344914</v>
      </c>
      <c r="K45" s="465">
        <v>41.803437903361342</v>
      </c>
      <c r="L45" s="465">
        <v>31.178112864247147</v>
      </c>
      <c r="M45" s="465">
        <v>35.009319160830231</v>
      </c>
      <c r="N45" s="465">
        <v>36.664683785676864</v>
      </c>
      <c r="O45" s="465">
        <v>37.663455817325783</v>
      </c>
      <c r="P45" s="465">
        <v>38.825663317181018</v>
      </c>
      <c r="Q45" s="465">
        <v>40.446722001048428</v>
      </c>
      <c r="R45" s="465">
        <v>42.258228298404852</v>
      </c>
    </row>
    <row r="46" spans="2:18">
      <c r="B46" s="464" t="s">
        <v>994</v>
      </c>
      <c r="C46" s="464" t="s">
        <v>994</v>
      </c>
      <c r="D46" s="465">
        <v>70.316870768184174</v>
      </c>
      <c r="E46" s="465">
        <v>79.330617024291143</v>
      </c>
      <c r="F46" s="465">
        <v>79.512854026355697</v>
      </c>
      <c r="G46" s="465">
        <v>71.57919571325111</v>
      </c>
      <c r="H46" s="465">
        <v>60.35221818002826</v>
      </c>
      <c r="I46" s="465">
        <v>50.453452810377811</v>
      </c>
      <c r="J46" s="465">
        <v>60.508588995751325</v>
      </c>
      <c r="K46" s="465">
        <v>48.841411755510961</v>
      </c>
      <c r="L46" s="465">
        <v>81.692971405773463</v>
      </c>
      <c r="M46" s="465">
        <v>98.3</v>
      </c>
      <c r="N46" s="465" t="s">
        <v>145</v>
      </c>
      <c r="O46" s="465" t="s">
        <v>145</v>
      </c>
      <c r="P46" s="465" t="s">
        <v>145</v>
      </c>
      <c r="Q46" s="465" t="s">
        <v>145</v>
      </c>
      <c r="R46" s="465" t="s">
        <v>145</v>
      </c>
    </row>
    <row r="47" spans="2:18">
      <c r="B47" s="464" t="s">
        <v>995</v>
      </c>
      <c r="C47" s="464" t="s">
        <v>995</v>
      </c>
      <c r="D47" s="465">
        <v>13.818650583317025</v>
      </c>
      <c r="E47" s="465">
        <v>16.104459537731138</v>
      </c>
      <c r="F47" s="465">
        <v>19.267049527988334</v>
      </c>
      <c r="G47" s="465">
        <v>21.863560009845393</v>
      </c>
      <c r="H47" s="465">
        <v>21.329189122732075</v>
      </c>
      <c r="I47" s="465">
        <v>26.801074398764225</v>
      </c>
      <c r="J47" s="465">
        <v>41.08581433614949</v>
      </c>
      <c r="K47" s="465">
        <v>35.89873873843942</v>
      </c>
      <c r="L47" s="465">
        <v>29.957880350522753</v>
      </c>
      <c r="M47" s="465">
        <v>30.500042097627151</v>
      </c>
      <c r="N47" s="465">
        <v>29.369876498920828</v>
      </c>
      <c r="O47" s="465">
        <v>28.316688409748807</v>
      </c>
      <c r="P47" s="465">
        <v>27.247720755275513</v>
      </c>
      <c r="Q47" s="465">
        <v>26.192389957820271</v>
      </c>
      <c r="R47" s="465">
        <v>25.160616139722038</v>
      </c>
    </row>
    <row r="48" spans="2:18">
      <c r="B48" s="464" t="s">
        <v>1025</v>
      </c>
      <c r="C48" s="464" t="s">
        <v>997</v>
      </c>
      <c r="D48" s="465">
        <v>51.316134853103065</v>
      </c>
      <c r="E48" s="465">
        <v>58.005893622772795</v>
      </c>
      <c r="F48" s="465">
        <v>56.641403198173087</v>
      </c>
      <c r="G48" s="465">
        <v>56.491751648037273</v>
      </c>
      <c r="H48" s="465">
        <v>58.633207499918527</v>
      </c>
      <c r="I48" s="465">
        <v>60.593084110562337</v>
      </c>
      <c r="J48" s="465">
        <v>68.21697463085637</v>
      </c>
      <c r="K48" s="465">
        <v>65.61442266793533</v>
      </c>
      <c r="L48" s="465">
        <v>60.999586033415113</v>
      </c>
      <c r="M48" s="465">
        <v>62.312298606386832</v>
      </c>
      <c r="N48" s="465">
        <v>62.704773772430734</v>
      </c>
      <c r="O48" s="465">
        <v>63.052618463679323</v>
      </c>
      <c r="P48" s="465">
        <v>63.4493722531885</v>
      </c>
      <c r="Q48" s="465">
        <v>63.659477356300812</v>
      </c>
      <c r="R48" s="465">
        <v>63.777604883893545</v>
      </c>
    </row>
    <row r="49" spans="1:34">
      <c r="B49" s="466" t="s">
        <v>998</v>
      </c>
      <c r="C49" s="466" t="s">
        <v>998</v>
      </c>
      <c r="D49" s="467">
        <v>84.896728008805795</v>
      </c>
      <c r="E49" s="467">
        <v>129.76223175987315</v>
      </c>
      <c r="F49" s="467">
        <v>138.40423216589309</v>
      </c>
      <c r="G49" s="467">
        <v>133.60959544927141</v>
      </c>
      <c r="H49" s="467">
        <v>174.62945938189907</v>
      </c>
      <c r="I49" s="467">
        <v>205.10321946267899</v>
      </c>
      <c r="J49" s="467">
        <v>327.72048353663013</v>
      </c>
      <c r="K49" s="467">
        <v>250.5828043585031</v>
      </c>
      <c r="L49" s="467">
        <v>157.80948800840133</v>
      </c>
      <c r="M49" s="467" t="s">
        <v>145</v>
      </c>
      <c r="N49" s="467" t="s">
        <v>145</v>
      </c>
      <c r="O49" s="467" t="s">
        <v>145</v>
      </c>
      <c r="P49" s="467" t="s">
        <v>145</v>
      </c>
      <c r="Q49" s="467" t="s">
        <v>145</v>
      </c>
      <c r="R49" s="467" t="s">
        <v>145</v>
      </c>
    </row>
    <row r="50" spans="1:34" ht="6" customHeight="1">
      <c r="B50" s="464"/>
      <c r="C50" s="464"/>
      <c r="D50" s="465"/>
      <c r="E50" s="465"/>
      <c r="F50" s="465"/>
      <c r="G50" s="465"/>
      <c r="H50" s="465"/>
      <c r="I50" s="465"/>
      <c r="J50" s="465"/>
      <c r="K50" s="465"/>
      <c r="L50" s="465"/>
      <c r="M50" s="465"/>
      <c r="N50" s="465"/>
      <c r="O50" s="465"/>
      <c r="P50" s="465"/>
      <c r="Q50" s="465"/>
      <c r="R50" s="465"/>
    </row>
    <row r="51" spans="1:34" ht="11.25" customHeight="1">
      <c r="B51" s="613" t="s">
        <v>927</v>
      </c>
      <c r="C51" s="613"/>
      <c r="D51" s="613"/>
      <c r="E51" s="613"/>
      <c r="F51" s="613"/>
      <c r="G51" s="613"/>
      <c r="H51" s="613"/>
      <c r="I51" s="613"/>
      <c r="J51" s="613"/>
      <c r="K51" s="613"/>
      <c r="L51" s="613"/>
      <c r="M51" s="613"/>
      <c r="N51" s="613"/>
      <c r="O51" s="613"/>
      <c r="P51" s="613"/>
      <c r="Q51" s="468"/>
      <c r="R51" s="468"/>
    </row>
    <row r="52" spans="1:34" ht="20.25" customHeight="1">
      <c r="B52" s="613" t="s">
        <v>999</v>
      </c>
      <c r="C52" s="613"/>
      <c r="D52" s="613"/>
      <c r="E52" s="613"/>
      <c r="F52" s="613"/>
      <c r="G52" s="613"/>
      <c r="H52" s="613"/>
      <c r="I52" s="613"/>
      <c r="J52" s="613"/>
      <c r="K52" s="613"/>
      <c r="L52" s="613"/>
      <c r="M52" s="613"/>
      <c r="N52" s="613"/>
      <c r="O52" s="613"/>
      <c r="P52" s="613"/>
      <c r="Q52" s="613"/>
      <c r="R52" s="510"/>
    </row>
    <row r="53" spans="1:34" ht="38.25" customHeight="1">
      <c r="B53" s="615" t="s">
        <v>954</v>
      </c>
      <c r="C53" s="615"/>
      <c r="D53" s="615"/>
      <c r="E53" s="615"/>
      <c r="F53" s="615"/>
      <c r="G53" s="615"/>
      <c r="H53" s="615"/>
      <c r="I53" s="615"/>
      <c r="J53" s="615"/>
      <c r="K53" s="615"/>
      <c r="L53" s="615"/>
      <c r="M53" s="615"/>
      <c r="N53" s="615"/>
      <c r="O53" s="615"/>
      <c r="P53" s="615"/>
      <c r="Q53" s="615"/>
      <c r="R53" s="615"/>
    </row>
    <row r="54" spans="1:34" ht="16.5" customHeight="1">
      <c r="B54" s="618" t="s">
        <v>1026</v>
      </c>
      <c r="C54" s="618"/>
      <c r="D54" s="618"/>
      <c r="E54" s="618"/>
      <c r="F54" s="618"/>
      <c r="G54" s="618"/>
      <c r="H54" s="618"/>
      <c r="I54" s="618"/>
      <c r="J54" s="618"/>
      <c r="K54" s="618"/>
      <c r="L54" s="618"/>
      <c r="M54" s="618"/>
      <c r="N54" s="618"/>
      <c r="O54" s="618"/>
      <c r="P54" s="618"/>
      <c r="Q54" s="618"/>
      <c r="R54" s="618"/>
    </row>
    <row r="55" spans="1:34" ht="24" customHeight="1">
      <c r="A55" s="451"/>
      <c r="B55" s="617" t="s">
        <v>1027</v>
      </c>
      <c r="C55" s="617"/>
      <c r="D55" s="617"/>
      <c r="E55" s="617"/>
      <c r="F55" s="617"/>
      <c r="G55" s="617"/>
      <c r="H55" s="617"/>
      <c r="I55" s="617"/>
      <c r="J55" s="617"/>
      <c r="K55" s="617"/>
      <c r="L55" s="617"/>
      <c r="M55" s="617"/>
      <c r="N55" s="617"/>
      <c r="O55" s="617"/>
      <c r="P55" s="617"/>
      <c r="Q55" s="617"/>
      <c r="R55" s="617"/>
      <c r="S55" s="451"/>
      <c r="T55" s="451"/>
      <c r="U55" s="451"/>
      <c r="V55" s="451"/>
      <c r="W55" s="451"/>
      <c r="X55" s="451"/>
      <c r="Y55" s="451"/>
      <c r="Z55" s="451"/>
      <c r="AA55" s="451"/>
      <c r="AB55" s="451"/>
      <c r="AC55" s="451"/>
      <c r="AD55" s="451"/>
      <c r="AE55" s="451"/>
      <c r="AF55" s="451"/>
      <c r="AG55" s="451"/>
      <c r="AH55" s="451"/>
    </row>
    <row r="56" spans="1:34" ht="29.25" customHeight="1">
      <c r="B56" s="618" t="s">
        <v>1028</v>
      </c>
      <c r="C56" s="618"/>
      <c r="D56" s="618"/>
      <c r="E56" s="618"/>
      <c r="F56" s="618"/>
      <c r="G56" s="618"/>
      <c r="H56" s="618"/>
      <c r="I56" s="618"/>
      <c r="J56" s="618"/>
      <c r="K56" s="618"/>
      <c r="L56" s="618"/>
      <c r="M56" s="618"/>
      <c r="N56" s="618"/>
      <c r="O56" s="618"/>
      <c r="P56" s="618"/>
      <c r="Q56" s="618"/>
      <c r="R56" s="618"/>
    </row>
    <row r="57" spans="1:34" ht="37.5" customHeight="1">
      <c r="B57" s="618" t="s">
        <v>1029</v>
      </c>
      <c r="C57" s="618"/>
      <c r="D57" s="618"/>
      <c r="E57" s="618"/>
      <c r="F57" s="618"/>
      <c r="G57" s="618"/>
      <c r="H57" s="618"/>
      <c r="I57" s="618"/>
      <c r="J57" s="618"/>
      <c r="K57" s="618"/>
      <c r="L57" s="618"/>
      <c r="M57" s="618"/>
      <c r="N57" s="618"/>
      <c r="O57" s="618"/>
      <c r="P57" s="618"/>
      <c r="Q57" s="618"/>
      <c r="R57" s="618"/>
    </row>
    <row r="58" spans="1:34">
      <c r="B58" s="464"/>
      <c r="C58" s="464"/>
      <c r="D58" s="469"/>
      <c r="E58" s="469"/>
      <c r="F58" s="469"/>
      <c r="G58" s="469"/>
      <c r="H58" s="469"/>
      <c r="I58" s="469"/>
      <c r="J58" s="469"/>
      <c r="K58" s="469"/>
      <c r="L58" s="469"/>
      <c r="M58" s="469"/>
      <c r="N58" s="469"/>
      <c r="O58" s="469"/>
      <c r="P58" s="469"/>
      <c r="Q58" s="469"/>
      <c r="R58" s="469"/>
    </row>
    <row r="59" spans="1:34">
      <c r="B59" s="464"/>
      <c r="C59" s="464"/>
      <c r="D59" s="469"/>
      <c r="E59" s="469"/>
      <c r="F59" s="469"/>
      <c r="G59" s="469"/>
      <c r="H59" s="469"/>
      <c r="I59" s="469"/>
      <c r="J59" s="469"/>
      <c r="K59" s="469"/>
      <c r="L59" s="469"/>
      <c r="M59" s="469"/>
      <c r="N59" s="469"/>
      <c r="O59" s="469"/>
      <c r="P59" s="469"/>
      <c r="Q59" s="469"/>
      <c r="R59" s="469"/>
    </row>
    <row r="60" spans="1:34">
      <c r="B60" s="464"/>
      <c r="C60" s="464"/>
      <c r="D60" s="469"/>
      <c r="E60" s="469"/>
      <c r="F60" s="469"/>
      <c r="G60" s="469"/>
      <c r="H60" s="469"/>
      <c r="I60" s="469"/>
      <c r="J60" s="469"/>
      <c r="K60" s="469"/>
      <c r="L60" s="469"/>
      <c r="M60" s="469"/>
      <c r="N60" s="469"/>
      <c r="O60" s="469"/>
      <c r="P60" s="469"/>
      <c r="Q60" s="469"/>
      <c r="R60" s="469"/>
    </row>
    <row r="61" spans="1:34">
      <c r="B61" s="464"/>
      <c r="C61" s="464"/>
      <c r="D61" s="469"/>
      <c r="E61" s="469"/>
      <c r="F61" s="469"/>
      <c r="G61" s="469"/>
      <c r="H61" s="469"/>
      <c r="I61" s="469"/>
      <c r="J61" s="469"/>
      <c r="K61" s="469"/>
      <c r="L61" s="469"/>
      <c r="M61" s="469"/>
      <c r="N61" s="469"/>
      <c r="O61" s="469"/>
      <c r="P61" s="469"/>
      <c r="Q61" s="469"/>
      <c r="R61" s="469"/>
    </row>
    <row r="62" spans="1:34">
      <c r="B62" s="464"/>
      <c r="C62" s="464"/>
      <c r="D62" s="469"/>
      <c r="E62" s="469"/>
      <c r="F62" s="469"/>
      <c r="G62" s="469"/>
      <c r="H62" s="469"/>
      <c r="I62" s="469"/>
      <c r="J62" s="469"/>
      <c r="K62" s="469"/>
      <c r="L62" s="469"/>
      <c r="M62" s="469"/>
      <c r="N62" s="469"/>
      <c r="O62" s="469"/>
      <c r="P62" s="469"/>
      <c r="Q62" s="469"/>
      <c r="R62" s="469"/>
    </row>
    <row r="63" spans="1:34">
      <c r="B63" s="464"/>
      <c r="C63" s="464"/>
      <c r="D63" s="469"/>
      <c r="E63" s="469"/>
      <c r="F63" s="469"/>
      <c r="G63" s="469"/>
      <c r="H63" s="469"/>
      <c r="I63" s="469"/>
      <c r="J63" s="469"/>
      <c r="K63" s="469"/>
      <c r="L63" s="469"/>
      <c r="M63" s="469"/>
      <c r="N63" s="469"/>
      <c r="O63" s="469"/>
      <c r="P63" s="469"/>
      <c r="Q63" s="469"/>
      <c r="R63" s="469"/>
    </row>
    <row r="64" spans="1:34">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sheetData>
  <mergeCells count="9">
    <mergeCell ref="B55:R55"/>
    <mergeCell ref="B56:R56"/>
    <mergeCell ref="B57:R57"/>
    <mergeCell ref="B2:R2"/>
    <mergeCell ref="B3:R3"/>
    <mergeCell ref="B51:P51"/>
    <mergeCell ref="B52:Q52"/>
    <mergeCell ref="B53:R53"/>
    <mergeCell ref="B54:R54"/>
  </mergeCells>
  <conditionalFormatting sqref="B22">
    <cfRule type="expression" dxfId="24" priority="7">
      <formula>MOD(ROW(),2)=0</formula>
    </cfRule>
  </conditionalFormatting>
  <conditionalFormatting sqref="B11:R49">
    <cfRule type="expression" dxfId="23" priority="1">
      <formula>MOD(ROW(),2)=0</formula>
    </cfRule>
  </conditionalFormatting>
  <hyperlinks>
    <hyperlink ref="B55:R55" r:id="rId1" location=":~:text=Following%20an%20impressive%20recovery%20from,and%20global%20demand%20has%20slowed." display="3 China’s deficit and public debt numbers presented in this table cover a narrower perimeter of the general government than IMF staff’s estimates in China Article IV reports (see IMF 2023 for a reconciliation of the two estimates). " xr:uid="{FAF1E23E-A263-4304-933F-415C0E37F452}"/>
  </hyperlinks>
  <pageMargins left="0.7" right="0.7" top="0.75" bottom="0.75" header="0.3" footer="0.3"/>
  <pageSetup scale="10"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8942-AA4A-4858-8BC0-00FF645DB0B6}">
  <sheetPr codeName="Sheet19">
    <pageSetUpPr fitToPage="1"/>
  </sheetPr>
  <dimension ref="B1:U76"/>
  <sheetViews>
    <sheetView zoomScale="120" zoomScaleNormal="120" workbookViewId="0">
      <pane xSplit="3" ySplit="4" topLeftCell="G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17.5703125" style="451" customWidth="1"/>
    <col min="3" max="3" width="54" style="451" hidden="1" customWidth="1" outlineLevel="1"/>
    <col min="4" max="4" width="9.28515625" style="452" customWidth="1" collapsed="1"/>
    <col min="5" max="18" width="9.28515625" style="452" customWidth="1"/>
    <col min="19" max="19" width="9.140625" style="451"/>
    <col min="20" max="20" width="0" style="451" hidden="1" customWidth="1"/>
    <col min="21" max="16384" width="9.140625" style="451"/>
  </cols>
  <sheetData>
    <row r="1" spans="2:21">
      <c r="U1" s="497"/>
    </row>
    <row r="2" spans="2:21" ht="15.75" customHeight="1">
      <c r="B2" s="616" t="str">
        <f>"Table A16. Emerging Market and Middle-Income Economies: General Government Net Debt, "&amp;D4&amp;"–"&amp;RIGHT(R4,2)</f>
        <v>Table A16. Emerging Market and Middle-Income Economies: General Government Net Debt, 2014–28</v>
      </c>
      <c r="C2" s="616"/>
      <c r="D2" s="616"/>
      <c r="E2" s="616"/>
      <c r="F2" s="616"/>
      <c r="G2" s="616"/>
      <c r="H2" s="616"/>
      <c r="I2" s="616"/>
      <c r="J2" s="616"/>
      <c r="K2" s="616"/>
      <c r="L2" s="616"/>
      <c r="M2" s="616"/>
      <c r="N2" s="616"/>
      <c r="O2" s="616"/>
      <c r="P2" s="616"/>
      <c r="Q2" s="616"/>
      <c r="R2" s="616"/>
      <c r="T2" s="490"/>
      <c r="U2" s="489"/>
    </row>
    <row r="3" spans="2:21">
      <c r="B3" s="619" t="s">
        <v>81</v>
      </c>
      <c r="C3" s="620"/>
      <c r="D3" s="620"/>
      <c r="E3" s="620"/>
      <c r="F3" s="620"/>
      <c r="G3" s="620"/>
      <c r="H3" s="620"/>
      <c r="I3" s="620"/>
      <c r="J3" s="620"/>
      <c r="K3" s="620"/>
      <c r="L3" s="620"/>
      <c r="M3" s="620"/>
      <c r="N3" s="620"/>
      <c r="O3" s="620"/>
      <c r="P3" s="620"/>
      <c r="Q3" s="620"/>
      <c r="R3" s="620"/>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951</v>
      </c>
      <c r="C5" s="491" t="s">
        <v>967</v>
      </c>
      <c r="D5" s="461">
        <v>24.257673795348811</v>
      </c>
      <c r="E5" s="461">
        <v>28.582761540939327</v>
      </c>
      <c r="F5" s="461">
        <v>34.274723050315153</v>
      </c>
      <c r="G5" s="461">
        <v>35.593313937054646</v>
      </c>
      <c r="H5" s="461">
        <v>36.481880332458154</v>
      </c>
      <c r="I5" s="461">
        <v>38.106229689853869</v>
      </c>
      <c r="J5" s="461">
        <v>45.631023358299025</v>
      </c>
      <c r="K5" s="461">
        <v>45.244106693932615</v>
      </c>
      <c r="L5" s="461">
        <v>42.642762109102854</v>
      </c>
      <c r="M5" s="461">
        <v>43.198575227088206</v>
      </c>
      <c r="N5" s="461">
        <v>43.999799020594608</v>
      </c>
      <c r="O5" s="461">
        <v>44.84375865454291</v>
      </c>
      <c r="P5" s="461">
        <v>45.56598154109593</v>
      </c>
      <c r="Q5" s="461">
        <v>45.964948421093851</v>
      </c>
      <c r="R5" s="461">
        <v>46.239085281593901</v>
      </c>
    </row>
    <row r="6" spans="2:21" ht="14.1" customHeight="1">
      <c r="B6" s="492" t="s">
        <v>108</v>
      </c>
      <c r="C6" s="491" t="s">
        <v>109</v>
      </c>
      <c r="D6" s="461" t="s">
        <v>139</v>
      </c>
      <c r="E6" s="461" t="s">
        <v>139</v>
      </c>
      <c r="F6" s="461" t="s">
        <v>139</v>
      </c>
      <c r="G6" s="461" t="s">
        <v>139</v>
      </c>
      <c r="H6" s="461" t="s">
        <v>139</v>
      </c>
      <c r="I6" s="461" t="s">
        <v>139</v>
      </c>
      <c r="J6" s="461" t="s">
        <v>139</v>
      </c>
      <c r="K6" s="461" t="s">
        <v>139</v>
      </c>
      <c r="L6" s="461" t="s">
        <v>139</v>
      </c>
      <c r="M6" s="461" t="s">
        <v>139</v>
      </c>
      <c r="N6" s="461" t="s">
        <v>139</v>
      </c>
      <c r="O6" s="461" t="s">
        <v>139</v>
      </c>
      <c r="P6" s="461" t="s">
        <v>139</v>
      </c>
      <c r="Q6" s="461" t="s">
        <v>139</v>
      </c>
      <c r="R6" s="461" t="s">
        <v>139</v>
      </c>
    </row>
    <row r="7" spans="2:21" ht="14.1" customHeight="1">
      <c r="B7" s="492" t="s">
        <v>113</v>
      </c>
      <c r="C7" s="491" t="s">
        <v>114</v>
      </c>
      <c r="D7" s="461">
        <v>29.136748824414362</v>
      </c>
      <c r="E7" s="461">
        <v>28.242061123072553</v>
      </c>
      <c r="F7" s="461">
        <v>30.268575021634604</v>
      </c>
      <c r="G7" s="461">
        <v>28.933342905657824</v>
      </c>
      <c r="H7" s="461">
        <v>29.188833760825002</v>
      </c>
      <c r="I7" s="461">
        <v>28.917217434228306</v>
      </c>
      <c r="J7" s="461">
        <v>36.038083886827231</v>
      </c>
      <c r="K7" s="461">
        <v>36.389574031500935</v>
      </c>
      <c r="L7" s="461">
        <v>30.83860272277883</v>
      </c>
      <c r="M7" s="461">
        <v>32.097133827457355</v>
      </c>
      <c r="N7" s="461">
        <v>33.188584934256269</v>
      </c>
      <c r="O7" s="461">
        <v>33.634540579200419</v>
      </c>
      <c r="P7" s="461">
        <v>34.60969281082788</v>
      </c>
      <c r="Q7" s="461">
        <v>34.95379184292689</v>
      </c>
      <c r="R7" s="461">
        <v>35.205911228530844</v>
      </c>
    </row>
    <row r="8" spans="2:21" ht="14.1" customHeight="1">
      <c r="B8" s="492" t="s">
        <v>117</v>
      </c>
      <c r="C8" s="491" t="s">
        <v>118</v>
      </c>
      <c r="D8" s="461">
        <v>31.683977448992227</v>
      </c>
      <c r="E8" s="461">
        <v>34.885526357227633</v>
      </c>
      <c r="F8" s="461">
        <v>40.255287123083299</v>
      </c>
      <c r="G8" s="461">
        <v>42.48030591702998</v>
      </c>
      <c r="H8" s="461">
        <v>42.939255972715706</v>
      </c>
      <c r="I8" s="461">
        <v>44.179993196842084</v>
      </c>
      <c r="J8" s="461">
        <v>51.300278794294691</v>
      </c>
      <c r="K8" s="461">
        <v>48.787371333224741</v>
      </c>
      <c r="L8" s="461">
        <v>49.303921249183951</v>
      </c>
      <c r="M8" s="461">
        <v>50.597023630645801</v>
      </c>
      <c r="N8" s="461">
        <v>52.340207322861197</v>
      </c>
      <c r="O8" s="461">
        <v>53.750110584862021</v>
      </c>
      <c r="P8" s="461">
        <v>54.808823369132462</v>
      </c>
      <c r="Q8" s="461">
        <v>55.568603869706998</v>
      </c>
      <c r="R8" s="461">
        <v>56.144460716531995</v>
      </c>
    </row>
    <row r="9" spans="2:21" ht="14.1" customHeight="1">
      <c r="B9" s="492" t="s">
        <v>121</v>
      </c>
      <c r="C9" s="491" t="s">
        <v>122</v>
      </c>
      <c r="D9" s="461">
        <v>-2.9575229190379146</v>
      </c>
      <c r="E9" s="461">
        <v>12.581753599432908</v>
      </c>
      <c r="F9" s="461">
        <v>26.8779010282149</v>
      </c>
      <c r="G9" s="461">
        <v>27.597023384674817</v>
      </c>
      <c r="H9" s="461">
        <v>28.746972948172445</v>
      </c>
      <c r="I9" s="461">
        <v>33.20181854948855</v>
      </c>
      <c r="J9" s="461">
        <v>43.264995236362509</v>
      </c>
      <c r="K9" s="461">
        <v>45.492309130014654</v>
      </c>
      <c r="L9" s="461">
        <v>37.248925831714267</v>
      </c>
      <c r="M9" s="461">
        <v>36.123335303592107</v>
      </c>
      <c r="N9" s="461">
        <v>35.36723991082377</v>
      </c>
      <c r="O9" s="461">
        <v>36.198464311507635</v>
      </c>
      <c r="P9" s="461">
        <v>36.4656800609296</v>
      </c>
      <c r="Q9" s="461">
        <v>36.538712457797814</v>
      </c>
      <c r="R9" s="461">
        <v>36.486842979473749</v>
      </c>
    </row>
    <row r="10" spans="2:21" ht="14.1" customHeight="1">
      <c r="B10" s="493" t="s">
        <v>968</v>
      </c>
      <c r="C10" s="491" t="s">
        <v>103</v>
      </c>
      <c r="D10" s="461">
        <v>23.02626944093528</v>
      </c>
      <c r="E10" s="461">
        <v>25.91936073886556</v>
      </c>
      <c r="F10" s="461">
        <v>31.779805902291805</v>
      </c>
      <c r="G10" s="461">
        <v>34.729342884497804</v>
      </c>
      <c r="H10" s="461">
        <v>35.623766624898344</v>
      </c>
      <c r="I10" s="461">
        <v>37.159164931973166</v>
      </c>
      <c r="J10" s="461">
        <v>44.097761201784806</v>
      </c>
      <c r="K10" s="461">
        <v>43.516000542852488</v>
      </c>
      <c r="L10" s="461">
        <v>40.960580819193318</v>
      </c>
      <c r="M10" s="461">
        <v>43.188656704115452</v>
      </c>
      <c r="N10" s="461">
        <v>44.992401728007607</v>
      </c>
      <c r="O10" s="461">
        <v>46.201999541111661</v>
      </c>
      <c r="P10" s="461">
        <v>47.230911482304158</v>
      </c>
      <c r="Q10" s="461">
        <v>47.79548931705213</v>
      </c>
      <c r="R10" s="461">
        <v>48.312638352802693</v>
      </c>
    </row>
    <row r="11" spans="2:21" ht="15" customHeight="1">
      <c r="B11" s="464" t="s">
        <v>969</v>
      </c>
      <c r="C11" s="464" t="s">
        <v>969</v>
      </c>
      <c r="D11" s="465">
        <v>-21.802574516345146</v>
      </c>
      <c r="E11" s="465">
        <v>-7.6306553811294604</v>
      </c>
      <c r="F11" s="465">
        <v>13.313149043845362</v>
      </c>
      <c r="G11" s="465">
        <v>21.58049085414719</v>
      </c>
      <c r="H11" s="465">
        <v>25.723400292965849</v>
      </c>
      <c r="I11" s="465">
        <v>30.523543521391161</v>
      </c>
      <c r="J11" s="465">
        <v>43.830473247834</v>
      </c>
      <c r="K11" s="465">
        <v>51.732434371388138</v>
      </c>
      <c r="L11" s="465">
        <v>42.546893206603173</v>
      </c>
      <c r="M11" s="465">
        <v>48.302725513874002</v>
      </c>
      <c r="N11" s="465">
        <v>52.524419799424315</v>
      </c>
      <c r="O11" s="465">
        <v>56.130833568464936</v>
      </c>
      <c r="P11" s="465">
        <v>59.668023388184622</v>
      </c>
      <c r="Q11" s="465">
        <v>63.214333929122482</v>
      </c>
      <c r="R11" s="465">
        <v>66.502934230758385</v>
      </c>
    </row>
    <row r="12" spans="2:21" ht="13.5" customHeight="1">
      <c r="B12" s="464" t="s">
        <v>970</v>
      </c>
      <c r="C12" s="464" t="s">
        <v>970</v>
      </c>
      <c r="D12" s="465" t="s">
        <v>139</v>
      </c>
      <c r="E12" s="465" t="s">
        <v>139</v>
      </c>
      <c r="F12" s="465" t="s">
        <v>139</v>
      </c>
      <c r="G12" s="465" t="s">
        <v>139</v>
      </c>
      <c r="H12" s="465" t="s">
        <v>139</v>
      </c>
      <c r="I12" s="465" t="s">
        <v>139</v>
      </c>
      <c r="J12" s="465" t="s">
        <v>139</v>
      </c>
      <c r="K12" s="465" t="s">
        <v>139</v>
      </c>
      <c r="L12" s="465" t="s">
        <v>139</v>
      </c>
      <c r="M12" s="465" t="s">
        <v>139</v>
      </c>
      <c r="N12" s="465" t="s">
        <v>139</v>
      </c>
      <c r="O12" s="465" t="s">
        <v>139</v>
      </c>
      <c r="P12" s="465" t="s">
        <v>139</v>
      </c>
      <c r="Q12" s="465" t="s">
        <v>139</v>
      </c>
      <c r="R12" s="465" t="s">
        <v>139</v>
      </c>
    </row>
    <row r="13" spans="2:21" ht="13.5" customHeight="1">
      <c r="B13" s="464" t="s">
        <v>971</v>
      </c>
      <c r="C13" s="464" t="s">
        <v>971</v>
      </c>
      <c r="D13" s="465" t="s">
        <v>139</v>
      </c>
      <c r="E13" s="465" t="s">
        <v>139</v>
      </c>
      <c r="F13" s="465" t="s">
        <v>139</v>
      </c>
      <c r="G13" s="465" t="s">
        <v>139</v>
      </c>
      <c r="H13" s="465" t="s">
        <v>139</v>
      </c>
      <c r="I13" s="465" t="s">
        <v>139</v>
      </c>
      <c r="J13" s="465" t="s">
        <v>139</v>
      </c>
      <c r="K13" s="465" t="s">
        <v>139</v>
      </c>
      <c r="L13" s="465" t="s">
        <v>139</v>
      </c>
      <c r="M13" s="465" t="s">
        <v>139</v>
      </c>
      <c r="N13" s="465" t="s">
        <v>139</v>
      </c>
      <c r="O13" s="465" t="s">
        <v>139</v>
      </c>
      <c r="P13" s="465" t="s">
        <v>139</v>
      </c>
      <c r="Q13" s="465" t="s">
        <v>139</v>
      </c>
      <c r="R13" s="465" t="s">
        <v>139</v>
      </c>
    </row>
    <row r="14" spans="2:21" ht="13.5" customHeight="1">
      <c r="B14" s="464" t="s">
        <v>972</v>
      </c>
      <c r="C14" s="464" t="s">
        <v>972</v>
      </c>
      <c r="D14" s="465" t="s">
        <v>139</v>
      </c>
      <c r="E14" s="465" t="s">
        <v>139</v>
      </c>
      <c r="F14" s="465" t="s">
        <v>139</v>
      </c>
      <c r="G14" s="465" t="s">
        <v>139</v>
      </c>
      <c r="H14" s="465" t="s">
        <v>139</v>
      </c>
      <c r="I14" s="465" t="s">
        <v>139</v>
      </c>
      <c r="J14" s="465" t="s">
        <v>139</v>
      </c>
      <c r="K14" s="465" t="s">
        <v>139</v>
      </c>
      <c r="L14" s="465" t="s">
        <v>139</v>
      </c>
      <c r="M14" s="465" t="s">
        <v>139</v>
      </c>
      <c r="N14" s="465" t="s">
        <v>139</v>
      </c>
      <c r="O14" s="465" t="s">
        <v>139</v>
      </c>
      <c r="P14" s="465" t="s">
        <v>139</v>
      </c>
      <c r="Q14" s="465" t="s">
        <v>139</v>
      </c>
      <c r="R14" s="465" t="s">
        <v>139</v>
      </c>
    </row>
    <row r="15" spans="2:21" ht="13.5" customHeight="1">
      <c r="B15" s="464" t="s">
        <v>119</v>
      </c>
      <c r="C15" s="464" t="s">
        <v>119</v>
      </c>
      <c r="D15" s="465">
        <v>32.586300410611926</v>
      </c>
      <c r="E15" s="465">
        <v>35.639825238145718</v>
      </c>
      <c r="F15" s="465">
        <v>46.143916138023563</v>
      </c>
      <c r="G15" s="465">
        <v>51.369713485939528</v>
      </c>
      <c r="H15" s="465">
        <v>52.766460847339026</v>
      </c>
      <c r="I15" s="465">
        <v>54.69883780214154</v>
      </c>
      <c r="J15" s="465">
        <v>61.369929393733592</v>
      </c>
      <c r="K15" s="465">
        <v>55.816089475282368</v>
      </c>
      <c r="L15" s="465">
        <v>57.063398639369275</v>
      </c>
      <c r="M15" s="465">
        <v>61.19973097048058</v>
      </c>
      <c r="N15" s="465">
        <v>65.266010887242814</v>
      </c>
      <c r="O15" s="465">
        <v>68.351039700689057</v>
      </c>
      <c r="P15" s="465">
        <v>70.621850876927212</v>
      </c>
      <c r="Q15" s="465">
        <v>72.119855773258891</v>
      </c>
      <c r="R15" s="465">
        <v>73.174190292505912</v>
      </c>
    </row>
    <row r="16" spans="2:21" ht="13.5" customHeight="1">
      <c r="B16" s="464" t="s">
        <v>427</v>
      </c>
      <c r="C16" s="464" t="s">
        <v>427</v>
      </c>
      <c r="D16" s="465">
        <v>13.134769011141149</v>
      </c>
      <c r="E16" s="465">
        <v>15.439986778507819</v>
      </c>
      <c r="F16" s="465">
        <v>11.30208007599877</v>
      </c>
      <c r="G16" s="465">
        <v>10.336922758085576</v>
      </c>
      <c r="H16" s="465">
        <v>8.9648513768577303</v>
      </c>
      <c r="I16" s="465">
        <v>8.4044139345742899</v>
      </c>
      <c r="J16" s="465">
        <v>13.330899170397739</v>
      </c>
      <c r="K16" s="465">
        <v>12.975759555690997</v>
      </c>
      <c r="L16" s="465">
        <v>11.182731306079399</v>
      </c>
      <c r="M16" s="465">
        <v>13.237193431455967</v>
      </c>
      <c r="N16" s="465">
        <v>15.39057216812982</v>
      </c>
      <c r="O16" s="465">
        <v>17.467882472771681</v>
      </c>
      <c r="P16" s="465">
        <v>18.838540465303446</v>
      </c>
      <c r="Q16" s="465">
        <v>20.074654667323564</v>
      </c>
      <c r="R16" s="465">
        <v>21.207266809785725</v>
      </c>
    </row>
    <row r="17" spans="2:18" ht="13.5" customHeight="1">
      <c r="B17" s="464" t="s">
        <v>973</v>
      </c>
      <c r="C17" s="464" t="s">
        <v>973</v>
      </c>
      <c r="D17" s="465">
        <v>-4.3688786764983618</v>
      </c>
      <c r="E17" s="465">
        <v>-3.4596180547268265</v>
      </c>
      <c r="F17" s="465">
        <v>0.94491168848535434</v>
      </c>
      <c r="G17" s="465">
        <v>4.4215398654781968</v>
      </c>
      <c r="H17" s="465">
        <v>5.7397811402529184</v>
      </c>
      <c r="I17" s="465">
        <v>7.9843535881269574</v>
      </c>
      <c r="J17" s="465">
        <v>13.296019004621954</v>
      </c>
      <c r="K17" s="465">
        <v>20.148416364484383</v>
      </c>
      <c r="L17" s="465">
        <v>19.626923795713797</v>
      </c>
      <c r="M17" s="465">
        <v>20.16239248039831</v>
      </c>
      <c r="N17" s="465">
        <v>20.927618705640004</v>
      </c>
      <c r="O17" s="465">
        <v>21.238154088337073</v>
      </c>
      <c r="P17" s="465">
        <v>21.201520525599729</v>
      </c>
      <c r="Q17" s="465">
        <v>20.786352424190017</v>
      </c>
      <c r="R17" s="465">
        <v>20.062901593329126</v>
      </c>
    </row>
    <row r="18" spans="2:18" ht="13.5" customHeight="1">
      <c r="B18" s="464" t="s">
        <v>1030</v>
      </c>
      <c r="C18" s="464" t="s">
        <v>111</v>
      </c>
      <c r="D18" s="465" t="s">
        <v>139</v>
      </c>
      <c r="E18" s="465" t="s">
        <v>139</v>
      </c>
      <c r="F18" s="465" t="s">
        <v>139</v>
      </c>
      <c r="G18" s="465" t="s">
        <v>139</v>
      </c>
      <c r="H18" s="465" t="s">
        <v>139</v>
      </c>
      <c r="I18" s="465" t="s">
        <v>139</v>
      </c>
      <c r="J18" s="465" t="s">
        <v>139</v>
      </c>
      <c r="K18" s="465" t="s">
        <v>139</v>
      </c>
      <c r="L18" s="465" t="s">
        <v>139</v>
      </c>
      <c r="M18" s="465" t="s">
        <v>139</v>
      </c>
      <c r="N18" s="465" t="s">
        <v>139</v>
      </c>
      <c r="O18" s="465" t="s">
        <v>139</v>
      </c>
      <c r="P18" s="465" t="s">
        <v>139</v>
      </c>
      <c r="Q18" s="465" t="s">
        <v>139</v>
      </c>
      <c r="R18" s="465" t="s">
        <v>139</v>
      </c>
    </row>
    <row r="19" spans="2:18" ht="13.5" customHeight="1">
      <c r="B19" s="464" t="s">
        <v>480</v>
      </c>
      <c r="C19" s="464" t="s">
        <v>480</v>
      </c>
      <c r="D19" s="465">
        <v>32.919044608355193</v>
      </c>
      <c r="E19" s="465">
        <v>42.081066174000078</v>
      </c>
      <c r="F19" s="465">
        <v>38.611142866694607</v>
      </c>
      <c r="G19" s="465">
        <v>38.642461548397506</v>
      </c>
      <c r="H19" s="465">
        <v>43.064435943124309</v>
      </c>
      <c r="I19" s="465">
        <v>43.054640244577143</v>
      </c>
      <c r="J19" s="465">
        <v>54.664098637654121</v>
      </c>
      <c r="K19" s="465">
        <v>54.140700042169541</v>
      </c>
      <c r="L19" s="465">
        <v>54.862696987146151</v>
      </c>
      <c r="M19" s="465">
        <v>53.528039234919063</v>
      </c>
      <c r="N19" s="465">
        <v>51.730720334882626</v>
      </c>
      <c r="O19" s="465">
        <v>50.530613236793762</v>
      </c>
      <c r="P19" s="465">
        <v>49.964687498817362</v>
      </c>
      <c r="Q19" s="465">
        <v>49.692685449010121</v>
      </c>
      <c r="R19" s="465">
        <v>49.395819650845795</v>
      </c>
    </row>
    <row r="20" spans="2:18" ht="13.5" customHeight="1">
      <c r="B20" s="464" t="s">
        <v>975</v>
      </c>
      <c r="C20" s="464" t="s">
        <v>975</v>
      </c>
      <c r="D20" s="465">
        <v>37.55277130069841</v>
      </c>
      <c r="E20" s="465">
        <v>37.211093240471733</v>
      </c>
      <c r="F20" s="465">
        <v>38.499686946306838</v>
      </c>
      <c r="G20" s="465">
        <v>40.303327878331757</v>
      </c>
      <c r="H20" s="465">
        <v>41.418483185724696</v>
      </c>
      <c r="I20" s="465">
        <v>43.390605297777476</v>
      </c>
      <c r="J20" s="465">
        <v>57.494863466334898</v>
      </c>
      <c r="K20" s="465">
        <v>49.463441929819545</v>
      </c>
      <c r="L20" s="465">
        <v>45.798269519341446</v>
      </c>
      <c r="M20" s="465">
        <v>45.577701507555624</v>
      </c>
      <c r="N20" s="465">
        <v>45.481565645552919</v>
      </c>
      <c r="O20" s="465">
        <v>45.030066502086768</v>
      </c>
      <c r="P20" s="465">
        <v>44.420727748226192</v>
      </c>
      <c r="Q20" s="465">
        <v>43.582281935640147</v>
      </c>
      <c r="R20" s="465">
        <v>42.661629153587334</v>
      </c>
    </row>
    <row r="21" spans="2:18" ht="13.5" customHeight="1">
      <c r="B21" s="464" t="s">
        <v>977</v>
      </c>
      <c r="C21" s="464" t="s">
        <v>977</v>
      </c>
      <c r="D21" s="465" t="s">
        <v>139</v>
      </c>
      <c r="E21" s="465" t="s">
        <v>139</v>
      </c>
      <c r="F21" s="465" t="s">
        <v>139</v>
      </c>
      <c r="G21" s="465" t="s">
        <v>139</v>
      </c>
      <c r="H21" s="465" t="s">
        <v>139</v>
      </c>
      <c r="I21" s="465" t="s">
        <v>139</v>
      </c>
      <c r="J21" s="465" t="s">
        <v>139</v>
      </c>
      <c r="K21" s="465" t="s">
        <v>139</v>
      </c>
      <c r="L21" s="465" t="s">
        <v>139</v>
      </c>
      <c r="M21" s="465" t="s">
        <v>145</v>
      </c>
      <c r="N21" s="465" t="s">
        <v>145</v>
      </c>
      <c r="O21" s="465" t="s">
        <v>145</v>
      </c>
      <c r="P21" s="465" t="s">
        <v>145</v>
      </c>
      <c r="Q21" s="465" t="s">
        <v>145</v>
      </c>
      <c r="R21" s="465" t="s">
        <v>145</v>
      </c>
    </row>
    <row r="22" spans="2:18" ht="13.5" customHeight="1">
      <c r="B22" s="464" t="s">
        <v>978</v>
      </c>
      <c r="C22" s="464" t="s">
        <v>978</v>
      </c>
      <c r="D22" s="465">
        <v>73.204281891168606</v>
      </c>
      <c r="E22" s="465">
        <v>75.271471261691318</v>
      </c>
      <c r="F22" s="465">
        <v>81.558469220294</v>
      </c>
      <c r="G22" s="465">
        <v>86.614677644355694</v>
      </c>
      <c r="H22" s="465">
        <v>80.65192233509066</v>
      </c>
      <c r="I22" s="465">
        <v>74.643388134381709</v>
      </c>
      <c r="J22" s="465">
        <v>80.646100835419176</v>
      </c>
      <c r="K22" s="465">
        <v>85.222212333598478</v>
      </c>
      <c r="L22" s="465">
        <v>83.853137814203251</v>
      </c>
      <c r="M22" s="465">
        <v>88.256306479201143</v>
      </c>
      <c r="N22" s="465">
        <v>82.363154762543118</v>
      </c>
      <c r="O22" s="465">
        <v>80.736514819345345</v>
      </c>
      <c r="P22" s="465">
        <v>78.713811195051903</v>
      </c>
      <c r="Q22" s="465">
        <v>76.139917341932005</v>
      </c>
      <c r="R22" s="465">
        <v>73.369351841134701</v>
      </c>
    </row>
    <row r="23" spans="2:18" ht="13.5" customHeight="1">
      <c r="B23" s="464" t="s">
        <v>450</v>
      </c>
      <c r="C23" s="464" t="s">
        <v>450</v>
      </c>
      <c r="D23" s="465">
        <v>70.313482757215297</v>
      </c>
      <c r="E23" s="465">
        <v>70.515606468634985</v>
      </c>
      <c r="F23" s="465">
        <v>67.898485875501493</v>
      </c>
      <c r="G23" s="465">
        <v>65.16183632806792</v>
      </c>
      <c r="H23" s="465">
        <v>62.126510536906054</v>
      </c>
      <c r="I23" s="465">
        <v>58.377530249908084</v>
      </c>
      <c r="J23" s="465">
        <v>72.344613724364223</v>
      </c>
      <c r="K23" s="465">
        <v>69.875437720590639</v>
      </c>
      <c r="L23" s="465">
        <v>69.398906570391759</v>
      </c>
      <c r="M23" s="465">
        <v>66.245356581769983</v>
      </c>
      <c r="N23" s="465">
        <v>63.013593689844051</v>
      </c>
      <c r="O23" s="465">
        <v>61.25995318764533</v>
      </c>
      <c r="P23" s="465">
        <v>59.137359057654336</v>
      </c>
      <c r="Q23" s="465">
        <v>57.187021258527835</v>
      </c>
      <c r="R23" s="465">
        <v>54.359228074317855</v>
      </c>
    </row>
    <row r="24" spans="2:18" ht="13.5" customHeight="1">
      <c r="B24" s="464" t="s">
        <v>112</v>
      </c>
      <c r="C24" s="464" t="s">
        <v>112</v>
      </c>
      <c r="D24" s="465" t="s">
        <v>139</v>
      </c>
      <c r="E24" s="465" t="s">
        <v>139</v>
      </c>
      <c r="F24" s="465" t="s">
        <v>139</v>
      </c>
      <c r="G24" s="465" t="s">
        <v>139</v>
      </c>
      <c r="H24" s="465" t="s">
        <v>139</v>
      </c>
      <c r="I24" s="465" t="s">
        <v>139</v>
      </c>
      <c r="J24" s="465" t="s">
        <v>139</v>
      </c>
      <c r="K24" s="465" t="s">
        <v>139</v>
      </c>
      <c r="L24" s="465" t="s">
        <v>139</v>
      </c>
      <c r="M24" s="465" t="s">
        <v>139</v>
      </c>
      <c r="N24" s="465" t="s">
        <v>139</v>
      </c>
      <c r="O24" s="465" t="s">
        <v>139</v>
      </c>
      <c r="P24" s="465" t="s">
        <v>139</v>
      </c>
      <c r="Q24" s="465" t="s">
        <v>139</v>
      </c>
      <c r="R24" s="465" t="s">
        <v>139</v>
      </c>
    </row>
    <row r="25" spans="2:18" ht="13.5" customHeight="1">
      <c r="B25" s="464" t="s">
        <v>281</v>
      </c>
      <c r="C25" s="464" t="s">
        <v>281</v>
      </c>
      <c r="D25" s="465">
        <v>20.377420601736741</v>
      </c>
      <c r="E25" s="465">
        <v>22.043463765785333</v>
      </c>
      <c r="F25" s="465">
        <v>23.451280992127511</v>
      </c>
      <c r="G25" s="465">
        <v>25.285137399110351</v>
      </c>
      <c r="H25" s="465">
        <v>26.658282716957537</v>
      </c>
      <c r="I25" s="465">
        <v>27.035328279804418</v>
      </c>
      <c r="J25" s="465">
        <v>36.130060332954116</v>
      </c>
      <c r="K25" s="465">
        <v>37.850082948078963</v>
      </c>
      <c r="L25" s="465">
        <v>37.082095349416441</v>
      </c>
      <c r="M25" s="465">
        <v>36.49841609159504</v>
      </c>
      <c r="N25" s="465">
        <v>36.376619894401728</v>
      </c>
      <c r="O25" s="465">
        <v>36.279478450791302</v>
      </c>
      <c r="P25" s="465">
        <v>36.076246186799708</v>
      </c>
      <c r="Q25" s="465">
        <v>35.83167531049709</v>
      </c>
      <c r="R25" s="465">
        <v>35.50998333968893</v>
      </c>
    </row>
    <row r="26" spans="2:18" ht="13.5" customHeight="1">
      <c r="B26" s="464" t="s">
        <v>979</v>
      </c>
      <c r="C26" s="464" t="s">
        <v>979</v>
      </c>
      <c r="D26" s="465">
        <v>-3.4420009214540408</v>
      </c>
      <c r="E26" s="465">
        <v>21.642752712256154</v>
      </c>
      <c r="F26" s="465">
        <v>36.397815124388025</v>
      </c>
      <c r="G26" s="465">
        <v>32.949723911868411</v>
      </c>
      <c r="H26" s="465">
        <v>31.527978481767637</v>
      </c>
      <c r="I26" s="465">
        <v>36.907910609079892</v>
      </c>
      <c r="J26" s="465">
        <v>40.329625943722135</v>
      </c>
      <c r="K26" s="465">
        <v>36.073649871240249</v>
      </c>
      <c r="L26" s="465">
        <v>28.512852291004538</v>
      </c>
      <c r="M26" s="465">
        <v>26.76543192867878</v>
      </c>
      <c r="N26" s="465">
        <v>27.335484487815158</v>
      </c>
      <c r="O26" s="465">
        <v>28.776134139274447</v>
      </c>
      <c r="P26" s="465">
        <v>30.148135656905211</v>
      </c>
      <c r="Q26" s="465">
        <v>31.499640050287848</v>
      </c>
      <c r="R26" s="465">
        <v>32.435833277547616</v>
      </c>
    </row>
    <row r="27" spans="2:18" ht="13.5" customHeight="1">
      <c r="B27" s="464" t="s">
        <v>980</v>
      </c>
      <c r="C27" s="464" t="s">
        <v>980</v>
      </c>
      <c r="D27" s="465">
        <v>-19.140373892507732</v>
      </c>
      <c r="E27" s="465">
        <v>-30.75383668875779</v>
      </c>
      <c r="F27" s="465">
        <v>-23.759383261338503</v>
      </c>
      <c r="G27" s="465">
        <v>-15.780705750346918</v>
      </c>
      <c r="H27" s="465">
        <v>-15.780211859898358</v>
      </c>
      <c r="I27" s="465">
        <v>-13.908909573932119</v>
      </c>
      <c r="J27" s="465">
        <v>-8.6239083540481456</v>
      </c>
      <c r="K27" s="465">
        <v>-3.3465524527205144</v>
      </c>
      <c r="L27" s="465">
        <v>-1.2313589111986702</v>
      </c>
      <c r="M27" s="465">
        <v>-0.71742757734404894</v>
      </c>
      <c r="N27" s="465">
        <v>-0.43774021869233065</v>
      </c>
      <c r="O27" s="465">
        <v>-0.24437681670398553</v>
      </c>
      <c r="P27" s="465">
        <v>0.15601039702909281</v>
      </c>
      <c r="Q27" s="465">
        <v>0.75112960169012566</v>
      </c>
      <c r="R27" s="465">
        <v>1.618012874832617</v>
      </c>
    </row>
    <row r="28" spans="2:18" ht="13.5" customHeight="1">
      <c r="B28" s="464" t="s">
        <v>981</v>
      </c>
      <c r="C28" s="464" t="s">
        <v>981</v>
      </c>
      <c r="D28" s="465" t="s">
        <v>139</v>
      </c>
      <c r="E28" s="465" t="s">
        <v>139</v>
      </c>
      <c r="F28" s="465" t="s">
        <v>139</v>
      </c>
      <c r="G28" s="465" t="s">
        <v>139</v>
      </c>
      <c r="H28" s="465" t="s">
        <v>139</v>
      </c>
      <c r="I28" s="465" t="s">
        <v>139</v>
      </c>
      <c r="J28" s="465" t="s">
        <v>139</v>
      </c>
      <c r="K28" s="465" t="s">
        <v>139</v>
      </c>
      <c r="L28" s="465" t="s">
        <v>139</v>
      </c>
      <c r="M28" s="465" t="s">
        <v>139</v>
      </c>
      <c r="N28" s="465" t="s">
        <v>139</v>
      </c>
      <c r="O28" s="465" t="s">
        <v>139</v>
      </c>
      <c r="P28" s="465" t="s">
        <v>139</v>
      </c>
      <c r="Q28" s="465" t="s">
        <v>139</v>
      </c>
      <c r="R28" s="465" t="s">
        <v>139</v>
      </c>
    </row>
    <row r="29" spans="2:18" ht="13.5" customHeight="1">
      <c r="B29" s="464" t="s">
        <v>982</v>
      </c>
      <c r="C29" s="464" t="s">
        <v>982</v>
      </c>
      <c r="D29" s="465">
        <v>130.01765419838907</v>
      </c>
      <c r="E29" s="465">
        <v>134.40638784078226</v>
      </c>
      <c r="F29" s="465">
        <v>140.69385902340963</v>
      </c>
      <c r="G29" s="465">
        <v>144.40010508012361</v>
      </c>
      <c r="H29" s="465">
        <v>150.77086656034024</v>
      </c>
      <c r="I29" s="465">
        <v>167.06070128185942</v>
      </c>
      <c r="J29" s="465">
        <v>147.94252873563218</v>
      </c>
      <c r="K29" s="465" t="s">
        <v>145</v>
      </c>
      <c r="L29" s="465" t="s">
        <v>145</v>
      </c>
      <c r="M29" s="465" t="s">
        <v>145</v>
      </c>
      <c r="N29" s="465" t="s">
        <v>145</v>
      </c>
      <c r="O29" s="465" t="s">
        <v>145</v>
      </c>
      <c r="P29" s="465" t="s">
        <v>145</v>
      </c>
      <c r="Q29" s="465" t="s">
        <v>145</v>
      </c>
      <c r="R29" s="465" t="s">
        <v>145</v>
      </c>
    </row>
    <row r="30" spans="2:18" ht="13.5" customHeight="1">
      <c r="B30" s="464" t="s">
        <v>984</v>
      </c>
      <c r="C30" s="464" t="s">
        <v>984</v>
      </c>
      <c r="D30" s="465" t="s">
        <v>139</v>
      </c>
      <c r="E30" s="465" t="s">
        <v>139</v>
      </c>
      <c r="F30" s="465" t="s">
        <v>139</v>
      </c>
      <c r="G30" s="465" t="s">
        <v>139</v>
      </c>
      <c r="H30" s="465" t="s">
        <v>139</v>
      </c>
      <c r="I30" s="465" t="s">
        <v>139</v>
      </c>
      <c r="J30" s="465" t="s">
        <v>139</v>
      </c>
      <c r="K30" s="465" t="s">
        <v>139</v>
      </c>
      <c r="L30" s="465" t="s">
        <v>139</v>
      </c>
      <c r="M30" s="465" t="s">
        <v>139</v>
      </c>
      <c r="N30" s="465" t="s">
        <v>139</v>
      </c>
      <c r="O30" s="465" t="s">
        <v>139</v>
      </c>
      <c r="P30" s="465" t="s">
        <v>139</v>
      </c>
      <c r="Q30" s="465" t="s">
        <v>139</v>
      </c>
      <c r="R30" s="465" t="s">
        <v>139</v>
      </c>
    </row>
    <row r="31" spans="2:18" ht="13.5" customHeight="1">
      <c r="B31" s="464" t="s">
        <v>120</v>
      </c>
      <c r="C31" s="464" t="s">
        <v>120</v>
      </c>
      <c r="D31" s="465">
        <v>42.587095756986457</v>
      </c>
      <c r="E31" s="465">
        <v>46.484887931156763</v>
      </c>
      <c r="F31" s="465">
        <v>48.673116659963867</v>
      </c>
      <c r="G31" s="465">
        <v>45.736097112145821</v>
      </c>
      <c r="H31" s="465">
        <v>44.853913739698456</v>
      </c>
      <c r="I31" s="465">
        <v>44.500217499945826</v>
      </c>
      <c r="J31" s="465">
        <v>51.586011564476088</v>
      </c>
      <c r="K31" s="465">
        <v>50.813098019117511</v>
      </c>
      <c r="L31" s="465">
        <v>49.725931865321236</v>
      </c>
      <c r="M31" s="465">
        <v>49.2889750315234</v>
      </c>
      <c r="N31" s="465">
        <v>49.485111551960927</v>
      </c>
      <c r="O31" s="465">
        <v>50.014594090364106</v>
      </c>
      <c r="P31" s="465">
        <v>50.62020392105039</v>
      </c>
      <c r="Q31" s="465">
        <v>51.177466159840577</v>
      </c>
      <c r="R31" s="465">
        <v>51.638669313394011</v>
      </c>
    </row>
    <row r="32" spans="2:18" ht="13.5" customHeight="1">
      <c r="B32" s="464" t="s">
        <v>985</v>
      </c>
      <c r="C32" s="464" t="s">
        <v>985</v>
      </c>
      <c r="D32" s="465">
        <v>58.100844021126278</v>
      </c>
      <c r="E32" s="465">
        <v>57.842157352648456</v>
      </c>
      <c r="F32" s="465">
        <v>59.624106042725188</v>
      </c>
      <c r="G32" s="465">
        <v>59.919965636238295</v>
      </c>
      <c r="H32" s="465">
        <v>60.223380987174934</v>
      </c>
      <c r="I32" s="465">
        <v>60.003484067805744</v>
      </c>
      <c r="J32" s="465">
        <v>71.61141419308602</v>
      </c>
      <c r="K32" s="465">
        <v>68.431482973477472</v>
      </c>
      <c r="L32" s="465">
        <v>68.391582348773014</v>
      </c>
      <c r="M32" s="465">
        <v>67.924703693468672</v>
      </c>
      <c r="N32" s="465">
        <v>68.0427924961553</v>
      </c>
      <c r="O32" s="465">
        <v>67.798951114894194</v>
      </c>
      <c r="P32" s="465">
        <v>67.297754636500727</v>
      </c>
      <c r="Q32" s="465">
        <v>66.545842729730936</v>
      </c>
      <c r="R32" s="465">
        <v>65.812796748803024</v>
      </c>
    </row>
    <row r="33" spans="2:18" ht="13.5" customHeight="1">
      <c r="B33" s="464" t="s">
        <v>986</v>
      </c>
      <c r="C33" s="464" t="s">
        <v>986</v>
      </c>
      <c r="D33" s="465">
        <v>-39.294774027666605</v>
      </c>
      <c r="E33" s="465">
        <v>-36.966160087363306</v>
      </c>
      <c r="F33" s="465">
        <v>-24.226431129569399</v>
      </c>
      <c r="G33" s="465">
        <v>-10.418357599014264</v>
      </c>
      <c r="H33" s="465">
        <v>6.3622984936359455</v>
      </c>
      <c r="I33" s="465">
        <v>11.162062635398014</v>
      </c>
      <c r="J33" s="465">
        <v>28.455016088929781</v>
      </c>
      <c r="K33" s="465">
        <v>24.854375136391248</v>
      </c>
      <c r="L33" s="465">
        <v>11.186645960209143</v>
      </c>
      <c r="M33" s="465">
        <v>10.522427355011905</v>
      </c>
      <c r="N33" s="465">
        <v>9.1786271545795426</v>
      </c>
      <c r="O33" s="465">
        <v>8.4974587931726457</v>
      </c>
      <c r="P33" s="465">
        <v>7.8295980297440675</v>
      </c>
      <c r="Q33" s="465">
        <v>7.6450660101401073</v>
      </c>
      <c r="R33" s="465">
        <v>6.4958384301623111</v>
      </c>
    </row>
    <row r="34" spans="2:18" ht="14.25" customHeight="1">
      <c r="B34" s="464" t="s">
        <v>987</v>
      </c>
      <c r="C34" s="464" t="s">
        <v>987</v>
      </c>
      <c r="D34" s="465">
        <v>52.22012756331894</v>
      </c>
      <c r="E34" s="465">
        <v>52.507143048296101</v>
      </c>
      <c r="F34" s="465">
        <v>55.144977724138165</v>
      </c>
      <c r="G34" s="465">
        <v>55.868206071874361</v>
      </c>
      <c r="H34" s="465">
        <v>59.897543935917007</v>
      </c>
      <c r="I34" s="465">
        <v>70.227635216622176</v>
      </c>
      <c r="J34" s="465">
        <v>72.904994059286082</v>
      </c>
      <c r="K34" s="465">
        <v>66.038601673141827</v>
      </c>
      <c r="L34" s="465">
        <v>69.483273705728081</v>
      </c>
      <c r="M34" s="465">
        <v>68.669705972616583</v>
      </c>
      <c r="N34" s="465">
        <v>65.037495432296694</v>
      </c>
      <c r="O34" s="465">
        <v>64.475657011797139</v>
      </c>
      <c r="P34" s="465">
        <v>64.607934894090292</v>
      </c>
      <c r="Q34" s="465">
        <v>64.41189306500938</v>
      </c>
      <c r="R34" s="465">
        <v>63.708952969823905</v>
      </c>
    </row>
    <row r="35" spans="2:18" ht="13.5" customHeight="1">
      <c r="B35" s="464" t="s">
        <v>988</v>
      </c>
      <c r="C35" s="464" t="s">
        <v>988</v>
      </c>
      <c r="D35" s="465">
        <v>2.6774969778000686</v>
      </c>
      <c r="E35" s="465">
        <v>5.2859302459464539</v>
      </c>
      <c r="F35" s="465">
        <v>6.9123503806521951</v>
      </c>
      <c r="G35" s="465">
        <v>8.6642754739678676</v>
      </c>
      <c r="H35" s="465">
        <v>10.161288663090213</v>
      </c>
      <c r="I35" s="465">
        <v>11.126575042653217</v>
      </c>
      <c r="J35" s="465">
        <v>21.010919352871625</v>
      </c>
      <c r="K35" s="465">
        <v>19.788256398557973</v>
      </c>
      <c r="L35" s="465">
        <v>19.577555672275533</v>
      </c>
      <c r="M35" s="465">
        <v>20.055230162827563</v>
      </c>
      <c r="N35" s="465">
        <v>20.885587254404754</v>
      </c>
      <c r="O35" s="465">
        <v>21.097544566989086</v>
      </c>
      <c r="P35" s="465">
        <v>20.597092282126226</v>
      </c>
      <c r="Q35" s="465">
        <v>19.932151669990795</v>
      </c>
      <c r="R35" s="465">
        <v>19.289662554406394</v>
      </c>
    </row>
    <row r="36" spans="2:18" ht="13.5" customHeight="1">
      <c r="B36" s="464" t="s">
        <v>989</v>
      </c>
      <c r="C36" s="464" t="s">
        <v>989</v>
      </c>
      <c r="D36" s="465" t="s">
        <v>139</v>
      </c>
      <c r="E36" s="465" t="s">
        <v>139</v>
      </c>
      <c r="F36" s="465" t="s">
        <v>139</v>
      </c>
      <c r="G36" s="465" t="s">
        <v>139</v>
      </c>
      <c r="H36" s="465" t="s">
        <v>139</v>
      </c>
      <c r="I36" s="465" t="s">
        <v>139</v>
      </c>
      <c r="J36" s="465" t="s">
        <v>139</v>
      </c>
      <c r="K36" s="465" t="s">
        <v>139</v>
      </c>
      <c r="L36" s="465" t="s">
        <v>139</v>
      </c>
      <c r="M36" s="465" t="s">
        <v>139</v>
      </c>
      <c r="N36" s="465" t="s">
        <v>139</v>
      </c>
      <c r="O36" s="465" t="s">
        <v>139</v>
      </c>
      <c r="P36" s="465" t="s">
        <v>139</v>
      </c>
      <c r="Q36" s="465" t="s">
        <v>139</v>
      </c>
      <c r="R36" s="465" t="s">
        <v>139</v>
      </c>
    </row>
    <row r="37" spans="2:18" ht="13.5" customHeight="1">
      <c r="B37" s="464" t="s">
        <v>426</v>
      </c>
      <c r="C37" s="464" t="s">
        <v>426</v>
      </c>
      <c r="D37" s="465">
        <v>45.412128753699605</v>
      </c>
      <c r="E37" s="465">
        <v>46.448465713034174</v>
      </c>
      <c r="F37" s="465">
        <v>47.88434349596205</v>
      </c>
      <c r="G37" s="465">
        <v>44.421003896521775</v>
      </c>
      <c r="H37" s="465">
        <v>41.499191279217818</v>
      </c>
      <c r="I37" s="465">
        <v>38.412503815831897</v>
      </c>
      <c r="J37" s="465">
        <v>45.108731269182549</v>
      </c>
      <c r="K37" s="465">
        <v>40.811525383034528</v>
      </c>
      <c r="L37" s="465">
        <v>36.633845757825334</v>
      </c>
      <c r="M37" s="465">
        <v>37.746199719638817</v>
      </c>
      <c r="N37" s="465">
        <v>38.718938458656886</v>
      </c>
      <c r="O37" s="465">
        <v>39.486412085352555</v>
      </c>
      <c r="P37" s="465">
        <v>40.645581503694132</v>
      </c>
      <c r="Q37" s="465">
        <v>41.180234730612725</v>
      </c>
      <c r="R37" s="465">
        <v>41.588136554126073</v>
      </c>
    </row>
    <row r="38" spans="2:18" ht="13.5" customHeight="1">
      <c r="B38" s="464" t="s">
        <v>990</v>
      </c>
      <c r="C38" s="464" t="s">
        <v>990</v>
      </c>
      <c r="D38" s="465" t="s">
        <v>139</v>
      </c>
      <c r="E38" s="465" t="s">
        <v>139</v>
      </c>
      <c r="F38" s="465" t="s">
        <v>139</v>
      </c>
      <c r="G38" s="465" t="s">
        <v>139</v>
      </c>
      <c r="H38" s="465" t="s">
        <v>139</v>
      </c>
      <c r="I38" s="465" t="s">
        <v>139</v>
      </c>
      <c r="J38" s="465" t="s">
        <v>139</v>
      </c>
      <c r="K38" s="465" t="s">
        <v>139</v>
      </c>
      <c r="L38" s="465" t="s">
        <v>139</v>
      </c>
      <c r="M38" s="465" t="s">
        <v>139</v>
      </c>
      <c r="N38" s="465" t="s">
        <v>139</v>
      </c>
      <c r="O38" s="465" t="s">
        <v>139</v>
      </c>
      <c r="P38" s="465" t="s">
        <v>139</v>
      </c>
      <c r="Q38" s="465" t="s">
        <v>139</v>
      </c>
      <c r="R38" s="465" t="s">
        <v>139</v>
      </c>
    </row>
    <row r="39" spans="2:18" ht="13.5" customHeight="1">
      <c r="B39" s="464" t="s">
        <v>445</v>
      </c>
      <c r="C39" s="464" t="s">
        <v>445</v>
      </c>
      <c r="D39" s="465">
        <v>28.354546520104464</v>
      </c>
      <c r="E39" s="465">
        <v>28.260346349332167</v>
      </c>
      <c r="F39" s="465">
        <v>26.756279534657136</v>
      </c>
      <c r="G39" s="465">
        <v>25.861947164914106</v>
      </c>
      <c r="H39" s="465">
        <v>26.243531372326988</v>
      </c>
      <c r="I39" s="465">
        <v>28.575728143384072</v>
      </c>
      <c r="J39" s="465">
        <v>40.001695809781673</v>
      </c>
      <c r="K39" s="465">
        <v>42.035191913103262</v>
      </c>
      <c r="L39" s="465">
        <v>40.107224081211015</v>
      </c>
      <c r="M39" s="465">
        <v>39.954068040599758</v>
      </c>
      <c r="N39" s="465">
        <v>41.169621520978517</v>
      </c>
      <c r="O39" s="465">
        <v>42.289177425556865</v>
      </c>
      <c r="P39" s="465">
        <v>43.529821513890809</v>
      </c>
      <c r="Q39" s="465">
        <v>45.04498701110046</v>
      </c>
      <c r="R39" s="465">
        <v>46.56309781470582</v>
      </c>
    </row>
    <row r="40" spans="2:18" ht="13.5" customHeight="1">
      <c r="B40" s="464" t="s">
        <v>116</v>
      </c>
      <c r="C40" s="464" t="s">
        <v>116</v>
      </c>
      <c r="D40" s="465" t="s">
        <v>139</v>
      </c>
      <c r="E40" s="465" t="s">
        <v>139</v>
      </c>
      <c r="F40" s="465" t="s">
        <v>139</v>
      </c>
      <c r="G40" s="465" t="s">
        <v>139</v>
      </c>
      <c r="H40" s="465" t="s">
        <v>139</v>
      </c>
      <c r="I40" s="465" t="s">
        <v>139</v>
      </c>
      <c r="J40" s="465" t="s">
        <v>139</v>
      </c>
      <c r="K40" s="465" t="s">
        <v>139</v>
      </c>
      <c r="L40" s="465" t="s">
        <v>139</v>
      </c>
      <c r="M40" s="465" t="s">
        <v>139</v>
      </c>
      <c r="N40" s="465" t="s">
        <v>139</v>
      </c>
      <c r="O40" s="465" t="s">
        <v>139</v>
      </c>
      <c r="P40" s="465" t="s">
        <v>139</v>
      </c>
      <c r="Q40" s="465" t="s">
        <v>139</v>
      </c>
      <c r="R40" s="465" t="s">
        <v>139</v>
      </c>
    </row>
    <row r="41" spans="2:18" ht="13.5" customHeight="1">
      <c r="B41" s="464" t="s">
        <v>123</v>
      </c>
      <c r="C41" s="464" t="s">
        <v>123</v>
      </c>
      <c r="D41" s="465">
        <v>-46.426237081144897</v>
      </c>
      <c r="E41" s="465">
        <v>-35.09181985909165</v>
      </c>
      <c r="F41" s="465">
        <v>-16.573987246436232</v>
      </c>
      <c r="G41" s="465">
        <v>-7.3951907875082661</v>
      </c>
      <c r="H41" s="465">
        <v>-8.1015809737583752E-2</v>
      </c>
      <c r="I41" s="465">
        <v>4.7206339716722532</v>
      </c>
      <c r="J41" s="465">
        <v>15.185373765942334</v>
      </c>
      <c r="K41" s="465">
        <v>16.967938383546933</v>
      </c>
      <c r="L41" s="465">
        <v>10.789100782506296</v>
      </c>
      <c r="M41" s="465">
        <v>12.345917263558885</v>
      </c>
      <c r="N41" s="465">
        <v>13.303918757262256</v>
      </c>
      <c r="O41" s="465">
        <v>13.697685417885966</v>
      </c>
      <c r="P41" s="465">
        <v>13.463000414879806</v>
      </c>
      <c r="Q41" s="465">
        <v>13.052921053286193</v>
      </c>
      <c r="R41" s="465">
        <v>12.909111635754996</v>
      </c>
    </row>
    <row r="42" spans="2:18" ht="13.5" customHeight="1">
      <c r="B42" s="464" t="s">
        <v>124</v>
      </c>
      <c r="C42" s="464" t="s">
        <v>124</v>
      </c>
      <c r="D42" s="465">
        <v>38.122337091632957</v>
      </c>
      <c r="E42" s="465">
        <v>41.049603543979551</v>
      </c>
      <c r="F42" s="465">
        <v>42.08300986121602</v>
      </c>
      <c r="G42" s="465">
        <v>43.777951636714732</v>
      </c>
      <c r="H42" s="465">
        <v>46.718437126655338</v>
      </c>
      <c r="I42" s="465">
        <v>50.69983691581168</v>
      </c>
      <c r="J42" s="465">
        <v>62.19822289917645</v>
      </c>
      <c r="K42" s="465">
        <v>63.207410516307071</v>
      </c>
      <c r="L42" s="465">
        <v>66.3243976737579</v>
      </c>
      <c r="M42" s="465">
        <v>69.821642286520742</v>
      </c>
      <c r="N42" s="465">
        <v>72.419748341940902</v>
      </c>
      <c r="O42" s="465">
        <v>75.882993052640131</v>
      </c>
      <c r="P42" s="465">
        <v>78.834136768786948</v>
      </c>
      <c r="Q42" s="465">
        <v>81.369758234648089</v>
      </c>
      <c r="R42" s="465">
        <v>83.8616958924366</v>
      </c>
    </row>
    <row r="43" spans="2:18" ht="13.5" customHeight="1">
      <c r="B43" s="464" t="s">
        <v>991</v>
      </c>
      <c r="C43" s="464" t="s">
        <v>991</v>
      </c>
      <c r="D43" s="465" t="s">
        <v>139</v>
      </c>
      <c r="E43" s="465" t="s">
        <v>139</v>
      </c>
      <c r="F43" s="465" t="s">
        <v>139</v>
      </c>
      <c r="G43" s="465" t="s">
        <v>139</v>
      </c>
      <c r="H43" s="465" t="s">
        <v>139</v>
      </c>
      <c r="I43" s="465" t="s">
        <v>139</v>
      </c>
      <c r="J43" s="465" t="s">
        <v>139</v>
      </c>
      <c r="K43" s="465" t="s">
        <v>139</v>
      </c>
      <c r="L43" s="465" t="s">
        <v>139</v>
      </c>
      <c r="M43" s="465" t="s">
        <v>145</v>
      </c>
      <c r="N43" s="465" t="s">
        <v>145</v>
      </c>
      <c r="O43" s="465" t="s">
        <v>145</v>
      </c>
      <c r="P43" s="465" t="s">
        <v>145</v>
      </c>
      <c r="Q43" s="465" t="s">
        <v>145</v>
      </c>
      <c r="R43" s="465" t="s">
        <v>145</v>
      </c>
    </row>
    <row r="44" spans="2:18" ht="13.5" customHeight="1">
      <c r="B44" s="464" t="s">
        <v>992</v>
      </c>
      <c r="C44" s="464" t="s">
        <v>992</v>
      </c>
      <c r="D44" s="465" t="s">
        <v>139</v>
      </c>
      <c r="E44" s="465" t="s">
        <v>139</v>
      </c>
      <c r="F44" s="465" t="s">
        <v>139</v>
      </c>
      <c r="G44" s="465" t="s">
        <v>139</v>
      </c>
      <c r="H44" s="465" t="s">
        <v>139</v>
      </c>
      <c r="I44" s="465" t="s">
        <v>139</v>
      </c>
      <c r="J44" s="465" t="s">
        <v>139</v>
      </c>
      <c r="K44" s="465" t="s">
        <v>139</v>
      </c>
      <c r="L44" s="465" t="s">
        <v>139</v>
      </c>
      <c r="M44" s="465" t="s">
        <v>139</v>
      </c>
      <c r="N44" s="465" t="s">
        <v>139</v>
      </c>
      <c r="O44" s="465" t="s">
        <v>139</v>
      </c>
      <c r="P44" s="465" t="s">
        <v>139</v>
      </c>
      <c r="Q44" s="465" t="s">
        <v>139</v>
      </c>
      <c r="R44" s="465" t="s">
        <v>139</v>
      </c>
    </row>
    <row r="45" spans="2:18">
      <c r="B45" s="464" t="s">
        <v>993</v>
      </c>
      <c r="C45" s="464" t="s">
        <v>993</v>
      </c>
      <c r="D45" s="465">
        <v>23.707112294246656</v>
      </c>
      <c r="E45" s="465">
        <v>22.840562118861545</v>
      </c>
      <c r="F45" s="465">
        <v>23.275212813312347</v>
      </c>
      <c r="G45" s="465">
        <v>22.11520018056002</v>
      </c>
      <c r="H45" s="465">
        <v>24.015303258692906</v>
      </c>
      <c r="I45" s="465">
        <v>25.443387157307757</v>
      </c>
      <c r="J45" s="465">
        <v>30.106610764459006</v>
      </c>
      <c r="K45" s="465">
        <v>33.696924913041272</v>
      </c>
      <c r="L45" s="465">
        <v>24.263316381521737</v>
      </c>
      <c r="M45" s="465">
        <v>27.454929100407249</v>
      </c>
      <c r="N45" s="465">
        <v>29.624732094381706</v>
      </c>
      <c r="O45" s="465">
        <v>30.112656720695274</v>
      </c>
      <c r="P45" s="465">
        <v>31.746684364309459</v>
      </c>
      <c r="Q45" s="465">
        <v>31.982266700746575</v>
      </c>
      <c r="R45" s="465">
        <v>32.438351546552774</v>
      </c>
    </row>
    <row r="46" spans="2:18">
      <c r="B46" s="464" t="s">
        <v>994</v>
      </c>
      <c r="C46" s="464" t="s">
        <v>994</v>
      </c>
      <c r="D46" s="465" t="s">
        <v>139</v>
      </c>
      <c r="E46" s="465" t="s">
        <v>139</v>
      </c>
      <c r="F46" s="465" t="s">
        <v>139</v>
      </c>
      <c r="G46" s="465" t="s">
        <v>139</v>
      </c>
      <c r="H46" s="465" t="s">
        <v>139</v>
      </c>
      <c r="I46" s="465" t="s">
        <v>139</v>
      </c>
      <c r="J46" s="465" t="s">
        <v>139</v>
      </c>
      <c r="K46" s="465" t="s">
        <v>139</v>
      </c>
      <c r="L46" s="465" t="s">
        <v>139</v>
      </c>
      <c r="M46" s="465" t="s">
        <v>139</v>
      </c>
      <c r="N46" s="465" t="s">
        <v>139</v>
      </c>
      <c r="O46" s="465" t="s">
        <v>139</v>
      </c>
      <c r="P46" s="465" t="s">
        <v>139</v>
      </c>
      <c r="Q46" s="465" t="s">
        <v>139</v>
      </c>
      <c r="R46" s="465" t="s">
        <v>139</v>
      </c>
    </row>
    <row r="47" spans="2:18">
      <c r="B47" s="464" t="s">
        <v>995</v>
      </c>
      <c r="C47" s="464" t="s">
        <v>995</v>
      </c>
      <c r="D47" s="465" t="s">
        <v>139</v>
      </c>
      <c r="E47" s="465" t="s">
        <v>139</v>
      </c>
      <c r="F47" s="465" t="s">
        <v>139</v>
      </c>
      <c r="G47" s="465" t="s">
        <v>139</v>
      </c>
      <c r="H47" s="465" t="s">
        <v>139</v>
      </c>
      <c r="I47" s="465" t="s">
        <v>139</v>
      </c>
      <c r="J47" s="465" t="s">
        <v>139</v>
      </c>
      <c r="K47" s="465" t="s">
        <v>139</v>
      </c>
      <c r="L47" s="465" t="s">
        <v>139</v>
      </c>
      <c r="M47" s="465" t="s">
        <v>139</v>
      </c>
      <c r="N47" s="465" t="s">
        <v>139</v>
      </c>
      <c r="O47" s="465" t="s">
        <v>139</v>
      </c>
      <c r="P47" s="465" t="s">
        <v>139</v>
      </c>
      <c r="Q47" s="465" t="s">
        <v>139</v>
      </c>
      <c r="R47" s="465" t="s">
        <v>139</v>
      </c>
    </row>
    <row r="48" spans="2:18" ht="13.5">
      <c r="B48" s="464" t="s">
        <v>1006</v>
      </c>
      <c r="C48" s="464" t="s">
        <v>997</v>
      </c>
      <c r="D48" s="465">
        <v>40.932175629148666</v>
      </c>
      <c r="E48" s="465">
        <v>44.584660480431168</v>
      </c>
      <c r="F48" s="465">
        <v>44.489335146731875</v>
      </c>
      <c r="G48" s="465">
        <v>44.774856768969144</v>
      </c>
      <c r="H48" s="465">
        <v>47.168701405055479</v>
      </c>
      <c r="I48" s="465">
        <v>50.688102122876067</v>
      </c>
      <c r="J48" s="465">
        <v>57.442739619632796</v>
      </c>
      <c r="K48" s="465">
        <v>55.165354821282229</v>
      </c>
      <c r="L48" s="465">
        <v>50.65051818676195</v>
      </c>
      <c r="M48" s="465">
        <v>52.063230760551647</v>
      </c>
      <c r="N48" s="465">
        <v>52.555705927327509</v>
      </c>
      <c r="O48" s="465">
        <v>53.00355061795883</v>
      </c>
      <c r="P48" s="465">
        <v>53.500304406528919</v>
      </c>
      <c r="Q48" s="465">
        <v>53.810409509595637</v>
      </c>
      <c r="R48" s="465">
        <v>53.928537037229709</v>
      </c>
    </row>
    <row r="49" spans="2:18">
      <c r="B49" s="466" t="s">
        <v>998</v>
      </c>
      <c r="C49" s="466" t="s">
        <v>998</v>
      </c>
      <c r="D49" s="467" t="s">
        <v>139</v>
      </c>
      <c r="E49" s="467" t="s">
        <v>139</v>
      </c>
      <c r="F49" s="467" t="s">
        <v>139</v>
      </c>
      <c r="G49" s="467" t="s">
        <v>139</v>
      </c>
      <c r="H49" s="467" t="s">
        <v>139</v>
      </c>
      <c r="I49" s="467" t="s">
        <v>139</v>
      </c>
      <c r="J49" s="467" t="s">
        <v>139</v>
      </c>
      <c r="K49" s="467" t="s">
        <v>139</v>
      </c>
      <c r="L49" s="467" t="s">
        <v>139</v>
      </c>
      <c r="M49" s="467" t="s">
        <v>145</v>
      </c>
      <c r="N49" s="467" t="s">
        <v>145</v>
      </c>
      <c r="O49" s="467" t="s">
        <v>145</v>
      </c>
      <c r="P49" s="467" t="s">
        <v>145</v>
      </c>
      <c r="Q49" s="467" t="s">
        <v>145</v>
      </c>
      <c r="R49" s="467" t="s">
        <v>145</v>
      </c>
    </row>
    <row r="50" spans="2:18" ht="6" customHeight="1">
      <c r="B50" s="464"/>
      <c r="C50" s="464"/>
      <c r="D50" s="465"/>
      <c r="E50" s="465"/>
      <c r="F50" s="465"/>
      <c r="G50" s="465"/>
      <c r="H50" s="465"/>
      <c r="I50" s="465"/>
      <c r="J50" s="465"/>
      <c r="K50" s="465"/>
      <c r="L50" s="465"/>
      <c r="M50" s="465"/>
      <c r="N50" s="465"/>
      <c r="O50" s="465"/>
      <c r="P50" s="465"/>
      <c r="Q50" s="465"/>
      <c r="R50" s="465"/>
    </row>
    <row r="51" spans="2:18" ht="10.5" customHeight="1">
      <c r="B51" s="613" t="s">
        <v>927</v>
      </c>
      <c r="C51" s="613"/>
      <c r="D51" s="613"/>
      <c r="E51" s="613"/>
      <c r="F51" s="613"/>
      <c r="G51" s="613"/>
      <c r="H51" s="613"/>
      <c r="I51" s="613"/>
      <c r="J51" s="613"/>
      <c r="K51" s="613"/>
      <c r="L51" s="613"/>
      <c r="M51" s="613"/>
      <c r="N51" s="613"/>
      <c r="O51" s="613"/>
      <c r="P51" s="613"/>
      <c r="Q51" s="468"/>
      <c r="R51" s="468"/>
    </row>
    <row r="52" spans="2:18" ht="14.25" customHeight="1">
      <c r="B52" s="613" t="s">
        <v>999</v>
      </c>
      <c r="C52" s="613"/>
      <c r="D52" s="613"/>
      <c r="E52" s="613"/>
      <c r="F52" s="613"/>
      <c r="G52" s="613"/>
      <c r="H52" s="613"/>
      <c r="I52" s="613"/>
      <c r="J52" s="613"/>
      <c r="K52" s="613"/>
      <c r="L52" s="613"/>
      <c r="M52" s="613"/>
      <c r="N52" s="613"/>
      <c r="O52" s="613"/>
      <c r="P52" s="613"/>
      <c r="Q52" s="613"/>
      <c r="R52" s="469"/>
    </row>
    <row r="53" spans="2:18" ht="40.5" customHeight="1">
      <c r="B53" s="615" t="s">
        <v>954</v>
      </c>
      <c r="C53" s="615"/>
      <c r="D53" s="615"/>
      <c r="E53" s="615"/>
      <c r="F53" s="615"/>
      <c r="G53" s="615"/>
      <c r="H53" s="615"/>
      <c r="I53" s="615"/>
      <c r="J53" s="615"/>
      <c r="K53" s="615"/>
      <c r="L53" s="615"/>
      <c r="M53" s="615"/>
      <c r="N53" s="615"/>
      <c r="O53" s="615"/>
      <c r="P53" s="615"/>
      <c r="Q53" s="615"/>
      <c r="R53" s="615"/>
    </row>
    <row r="54" spans="2:18" ht="27.75" customHeight="1">
      <c r="B54" s="617" t="s">
        <v>1031</v>
      </c>
      <c r="C54" s="617"/>
      <c r="D54" s="617"/>
      <c r="E54" s="617"/>
      <c r="F54" s="617"/>
      <c r="G54" s="617"/>
      <c r="H54" s="617"/>
      <c r="I54" s="617"/>
      <c r="J54" s="617"/>
      <c r="K54" s="617"/>
      <c r="L54" s="617"/>
      <c r="M54" s="617"/>
      <c r="N54" s="617"/>
      <c r="O54" s="617"/>
      <c r="P54" s="617"/>
      <c r="Q54" s="617"/>
      <c r="R54" s="617"/>
    </row>
    <row r="55" spans="2:18" ht="42.75" customHeight="1">
      <c r="B55" s="618" t="s">
        <v>1032</v>
      </c>
      <c r="C55" s="618"/>
      <c r="D55" s="618"/>
      <c r="E55" s="618"/>
      <c r="F55" s="618"/>
      <c r="G55" s="618"/>
      <c r="H55" s="618"/>
      <c r="I55" s="618"/>
      <c r="J55" s="618"/>
      <c r="K55" s="618"/>
      <c r="L55" s="618"/>
      <c r="M55" s="618"/>
      <c r="N55" s="618"/>
      <c r="O55" s="618"/>
      <c r="P55" s="618"/>
      <c r="Q55" s="618"/>
      <c r="R55" s="618"/>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sheetData>
  <mergeCells count="7">
    <mergeCell ref="B55:R55"/>
    <mergeCell ref="B2:R2"/>
    <mergeCell ref="B3:R3"/>
    <mergeCell ref="B51:P51"/>
    <mergeCell ref="B52:Q52"/>
    <mergeCell ref="B53:R53"/>
    <mergeCell ref="B54:R54"/>
  </mergeCells>
  <conditionalFormatting sqref="B11:R49">
    <cfRule type="expression" dxfId="22" priority="1">
      <formula>MOD(ROW(),2)=0</formula>
    </cfRule>
  </conditionalFormatting>
  <hyperlinks>
    <hyperlink ref="B54:R54" r:id="rId1" location=":~:text=Following%20an%20impressive%20recovery%20from,and%20global%20demand%20has%20slowed." display="3 China’s deficit and public debt numbers presented in this table cover a narrower perimeter of the general government than IMF staff’s estimates in China Article IV reports (see IMF 2023 for a reconciliation of the two estimates). " xr:uid="{A81734B6-8A41-4CD9-847A-FC02BFBEAC4B}"/>
  </hyperlinks>
  <pageMargins left="0.7" right="0.7" top="0.75" bottom="0.75" header="0.3" footer="0.3"/>
  <pageSetup scale="35"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CCD5D-3735-4D90-B76F-AC76CA1BE400}">
  <sheetPr codeName="Sheet20">
    <pageSetUpPr fitToPage="1"/>
  </sheetPr>
  <dimension ref="B2:AH75"/>
  <sheetViews>
    <sheetView zoomScaleNormal="100"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2" outlineLevelCol="1"/>
  <cols>
    <col min="1" max="1" width="6.7109375" style="451" customWidth="1"/>
    <col min="2" max="2" width="27.85546875" style="451" customWidth="1"/>
    <col min="3" max="3" width="40.42578125" style="451" hidden="1" customWidth="1" outlineLevel="1"/>
    <col min="4" max="4" width="8.140625" style="452" customWidth="1" collapsed="1"/>
    <col min="5" max="18" width="8.140625" style="452" customWidth="1"/>
    <col min="19" max="16384" width="9.140625" style="451"/>
  </cols>
  <sheetData>
    <row r="2" spans="2:21" ht="15">
      <c r="B2" s="616" t="str">
        <f>"Table A17. Low-Income Developing Countries: General Government Overall Balance, "&amp;D4&amp;"–"&amp;RIGHT(R4,2)</f>
        <v>Table A17. Low-Income Developing Countries: General Government Overall Balance, 2014–28</v>
      </c>
      <c r="C2" s="616"/>
      <c r="D2" s="616"/>
      <c r="E2" s="616"/>
      <c r="F2" s="616"/>
      <c r="G2" s="616"/>
      <c r="H2" s="616"/>
      <c r="I2" s="616"/>
      <c r="J2" s="616"/>
      <c r="K2" s="616"/>
      <c r="L2" s="616"/>
      <c r="M2" s="616"/>
      <c r="N2" s="616"/>
      <c r="O2" s="616"/>
      <c r="P2" s="616"/>
      <c r="Q2" s="616"/>
      <c r="R2" s="616"/>
      <c r="U2" s="489"/>
    </row>
    <row r="3" spans="2:21">
      <c r="B3" s="619" t="s">
        <v>81</v>
      </c>
      <c r="C3" s="620"/>
      <c r="D3" s="620"/>
      <c r="E3" s="620"/>
      <c r="F3" s="620"/>
      <c r="G3" s="620"/>
      <c r="H3" s="620"/>
      <c r="I3" s="620"/>
      <c r="J3" s="620"/>
      <c r="K3" s="620"/>
      <c r="L3" s="620"/>
      <c r="M3" s="620"/>
      <c r="N3" s="620"/>
      <c r="O3" s="620"/>
      <c r="P3" s="620"/>
      <c r="Q3" s="620"/>
      <c r="R3" s="620"/>
    </row>
    <row r="4" spans="2:21"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1" ht="14.1" customHeight="1">
      <c r="B5" s="459" t="s">
        <v>196</v>
      </c>
      <c r="C5" s="491" t="s">
        <v>125</v>
      </c>
      <c r="D5" s="461">
        <v>-3.1433154217764767</v>
      </c>
      <c r="E5" s="461">
        <v>-3.8114862357416888</v>
      </c>
      <c r="F5" s="461">
        <v>-3.7115944221382442</v>
      </c>
      <c r="G5" s="461">
        <v>-3.6537666770092914</v>
      </c>
      <c r="H5" s="461">
        <v>-3.2641369818030088</v>
      </c>
      <c r="I5" s="461">
        <v>-3.485169741714778</v>
      </c>
      <c r="J5" s="461">
        <v>-4.9539254415564189</v>
      </c>
      <c r="K5" s="461">
        <v>-4.7066735818787233</v>
      </c>
      <c r="L5" s="461">
        <v>-4.2086043805622086</v>
      </c>
      <c r="M5" s="461">
        <v>-4.2355125023429121</v>
      </c>
      <c r="N5" s="461">
        <v>-3.9579029617274619</v>
      </c>
      <c r="O5" s="461">
        <v>-3.8062035849477769</v>
      </c>
      <c r="P5" s="461">
        <v>-3.6991985860674581</v>
      </c>
      <c r="Q5" s="461">
        <v>-3.7010756133523044</v>
      </c>
      <c r="R5" s="461">
        <v>-3.6266192826869279</v>
      </c>
    </row>
    <row r="6" spans="2:21" ht="14.1" customHeight="1">
      <c r="B6" s="462" t="s">
        <v>129</v>
      </c>
      <c r="C6" s="491" t="s">
        <v>1033</v>
      </c>
      <c r="D6" s="461">
        <v>-2.8906645265199007</v>
      </c>
      <c r="E6" s="461">
        <v>-4.5671006826585749</v>
      </c>
      <c r="F6" s="461">
        <v>-5.2740247365833506</v>
      </c>
      <c r="G6" s="461">
        <v>-5.3791460708608323</v>
      </c>
      <c r="H6" s="461">
        <v>-4.1152974741146791</v>
      </c>
      <c r="I6" s="461">
        <v>-4.4846708467194167</v>
      </c>
      <c r="J6" s="461">
        <v>-5.3432724700264052</v>
      </c>
      <c r="K6" s="461">
        <v>-5.6523547809781576</v>
      </c>
      <c r="L6" s="461">
        <v>-4.9545675102302642</v>
      </c>
      <c r="M6" s="461">
        <v>-4.8459312145837155</v>
      </c>
      <c r="N6" s="461">
        <v>-4.9161070490689935</v>
      </c>
      <c r="O6" s="461">
        <v>-5.1098541882082387</v>
      </c>
      <c r="P6" s="461">
        <v>-5.3289659588857425</v>
      </c>
      <c r="Q6" s="461">
        <v>-5.5741273156269928</v>
      </c>
      <c r="R6" s="461">
        <v>-5.7013539530288844</v>
      </c>
    </row>
    <row r="7" spans="2:21" ht="14.1" customHeight="1">
      <c r="B7" s="462" t="s">
        <v>108</v>
      </c>
      <c r="C7" s="491" t="s">
        <v>1034</v>
      </c>
      <c r="D7" s="461">
        <v>-3.454220752917339</v>
      </c>
      <c r="E7" s="461">
        <v>-3.7994928724965651</v>
      </c>
      <c r="F7" s="461">
        <v>-3.1896504421301031</v>
      </c>
      <c r="G7" s="461">
        <v>-3.083940256681716</v>
      </c>
      <c r="H7" s="461">
        <v>-2.769648375033392</v>
      </c>
      <c r="I7" s="461">
        <v>-3.0343482950907208</v>
      </c>
      <c r="J7" s="461">
        <v>-4.2742870169371843</v>
      </c>
      <c r="K7" s="461">
        <v>-4.2618734104828082</v>
      </c>
      <c r="L7" s="461">
        <v>-3.4832269992144216</v>
      </c>
      <c r="M7" s="461">
        <v>-4.5427871346730795</v>
      </c>
      <c r="N7" s="461">
        <v>-4.1605158335568522</v>
      </c>
      <c r="O7" s="461">
        <v>-3.9885542733400223</v>
      </c>
      <c r="P7" s="461">
        <v>-3.7477299550801515</v>
      </c>
      <c r="Q7" s="461">
        <v>-3.5991595270223504</v>
      </c>
      <c r="R7" s="461">
        <v>-3.4520752476910181</v>
      </c>
    </row>
    <row r="8" spans="2:21" ht="14.1" customHeight="1">
      <c r="B8" s="462" t="s">
        <v>117</v>
      </c>
      <c r="C8" s="491" t="s">
        <v>1035</v>
      </c>
      <c r="D8" s="461">
        <v>-2.7169883714223713</v>
      </c>
      <c r="E8" s="461">
        <v>-1.1940470613115535</v>
      </c>
      <c r="F8" s="461">
        <v>-0.66930494722041423</v>
      </c>
      <c r="G8" s="461">
        <v>-0.60713313814666903</v>
      </c>
      <c r="H8" s="461">
        <v>-0.9567506153839288</v>
      </c>
      <c r="I8" s="461">
        <v>-0.61607228474966735</v>
      </c>
      <c r="J8" s="461">
        <v>-3.396033120238672</v>
      </c>
      <c r="K8" s="461">
        <v>-2.5375456304543849</v>
      </c>
      <c r="L8" s="461">
        <v>-0.80310552956804604</v>
      </c>
      <c r="M8" s="461">
        <v>-1.8796074328819425</v>
      </c>
      <c r="N8" s="461">
        <v>-1.5938987528507673</v>
      </c>
      <c r="O8" s="461">
        <v>-1.2740310899707648</v>
      </c>
      <c r="P8" s="461">
        <v>-1.2045127625571432</v>
      </c>
      <c r="Q8" s="461">
        <v>-1.1565133226922686</v>
      </c>
      <c r="R8" s="461">
        <v>-1.189776645475161</v>
      </c>
    </row>
    <row r="9" spans="2:21" ht="14.1" customHeight="1">
      <c r="B9" s="462" t="s">
        <v>1036</v>
      </c>
      <c r="C9" s="491" t="s">
        <v>1037</v>
      </c>
      <c r="D9" s="461">
        <v>-3.3094541619652769</v>
      </c>
      <c r="E9" s="461">
        <v>-4.0979753291104046</v>
      </c>
      <c r="F9" s="461">
        <v>-4.4822987020145311</v>
      </c>
      <c r="G9" s="461">
        <v>-4.4645945824091893</v>
      </c>
      <c r="H9" s="461">
        <v>-3.9117809047892798</v>
      </c>
      <c r="I9" s="461">
        <v>-4.0002466832525334</v>
      </c>
      <c r="J9" s="461">
        <v>-5.7402743979735602</v>
      </c>
      <c r="K9" s="461">
        <v>-5.4727293778335815</v>
      </c>
      <c r="L9" s="461">
        <v>-5.1535961458123669</v>
      </c>
      <c r="M9" s="461">
        <v>-4.346846210491937</v>
      </c>
      <c r="N9" s="461">
        <v>-4.1249633305819096</v>
      </c>
      <c r="O9" s="461">
        <v>-3.9894764460785677</v>
      </c>
      <c r="P9" s="461">
        <v>-3.9478867619244635</v>
      </c>
      <c r="Q9" s="461">
        <v>-4.0445409766848881</v>
      </c>
      <c r="R9" s="461">
        <v>-4.000131766198245</v>
      </c>
    </row>
    <row r="10" spans="2:21" ht="14.1" customHeight="1">
      <c r="B10" s="462" t="s">
        <v>232</v>
      </c>
      <c r="C10" s="491" t="s">
        <v>1038</v>
      </c>
      <c r="D10" s="461">
        <v>-1.6720907848796396</v>
      </c>
      <c r="E10" s="461">
        <v>-3.0964114049049813</v>
      </c>
      <c r="F10" s="461">
        <v>-2.4973433933761489</v>
      </c>
      <c r="G10" s="461">
        <v>-2.3044626306230849</v>
      </c>
      <c r="H10" s="461">
        <v>-1.8847110289331073</v>
      </c>
      <c r="I10" s="461">
        <v>-3.014241889298158</v>
      </c>
      <c r="J10" s="461">
        <v>-3.5510295239629879</v>
      </c>
      <c r="K10" s="461">
        <v>-2.2087213044049365</v>
      </c>
      <c r="L10" s="461">
        <v>-2.6450207197010172</v>
      </c>
      <c r="M10" s="461">
        <v>-2.8535711815989897</v>
      </c>
      <c r="N10" s="461">
        <v>-2.6289519090355782</v>
      </c>
      <c r="O10" s="461">
        <v>-2.4695124332537199</v>
      </c>
      <c r="P10" s="461">
        <v>-2.5311841910507615</v>
      </c>
      <c r="Q10" s="461">
        <v>-2.6100333060812497</v>
      </c>
      <c r="R10" s="461">
        <v>-2.6411086517466149</v>
      </c>
    </row>
    <row r="11" spans="2:21" ht="16.5" customHeight="1">
      <c r="B11" s="451" t="s">
        <v>1039</v>
      </c>
      <c r="C11" s="451" t="s">
        <v>1039</v>
      </c>
      <c r="D11" s="465">
        <v>-1.7187968084428968</v>
      </c>
      <c r="E11" s="465">
        <v>-1.3777003286854674</v>
      </c>
      <c r="F11" s="465">
        <v>0.1272579844933609</v>
      </c>
      <c r="G11" s="465">
        <v>-0.67310590614261545</v>
      </c>
      <c r="H11" s="465">
        <v>1.6341957402494647</v>
      </c>
      <c r="I11" s="465">
        <v>-1.0580811178504579</v>
      </c>
      <c r="J11" s="465">
        <v>-2.2427993929729095</v>
      </c>
      <c r="K11" s="465" t="s">
        <v>139</v>
      </c>
      <c r="L11" s="465" t="s">
        <v>139</v>
      </c>
      <c r="M11" s="465" t="s">
        <v>139</v>
      </c>
      <c r="N11" s="465" t="s">
        <v>139</v>
      </c>
      <c r="O11" s="465" t="s">
        <v>139</v>
      </c>
      <c r="P11" s="465" t="s">
        <v>139</v>
      </c>
      <c r="Q11" s="465" t="s">
        <v>139</v>
      </c>
      <c r="R11" s="465" t="s">
        <v>139</v>
      </c>
    </row>
    <row r="12" spans="2:21" ht="13.5" customHeight="1">
      <c r="B12" s="464" t="s">
        <v>1040</v>
      </c>
      <c r="C12" s="464" t="s">
        <v>1040</v>
      </c>
      <c r="D12" s="465">
        <v>-2.6189504910757</v>
      </c>
      <c r="E12" s="465">
        <v>-3.2897447592775242</v>
      </c>
      <c r="F12" s="465">
        <v>-3.1629145583436142</v>
      </c>
      <c r="G12" s="465">
        <v>-4.1670139747338446</v>
      </c>
      <c r="H12" s="465">
        <v>-4.0684623046309394</v>
      </c>
      <c r="I12" s="465">
        <v>-5.4082191663745718</v>
      </c>
      <c r="J12" s="465">
        <v>-4.8404471865357541</v>
      </c>
      <c r="K12" s="465">
        <v>-3.6053734407215168</v>
      </c>
      <c r="L12" s="465">
        <v>-3.8482312080489938</v>
      </c>
      <c r="M12" s="465">
        <v>-5.6338446646467188</v>
      </c>
      <c r="N12" s="465">
        <v>-5.0865154624943409</v>
      </c>
      <c r="O12" s="465">
        <v>-5.0498752893203598</v>
      </c>
      <c r="P12" s="465">
        <v>-5.0225442016683832</v>
      </c>
      <c r="Q12" s="465">
        <v>-5.000000000000056</v>
      </c>
      <c r="R12" s="465">
        <v>-5.0000000000000373</v>
      </c>
    </row>
    <row r="13" spans="2:21" ht="13.5" customHeight="1">
      <c r="B13" s="464" t="s">
        <v>1041</v>
      </c>
      <c r="C13" s="464" t="s">
        <v>1041</v>
      </c>
      <c r="D13" s="465">
        <v>-1.6505443960942741</v>
      </c>
      <c r="E13" s="465">
        <v>-5.5528358967142113</v>
      </c>
      <c r="F13" s="465">
        <v>-4.2886306649032226</v>
      </c>
      <c r="G13" s="465">
        <v>-4.2037446820599245</v>
      </c>
      <c r="H13" s="465">
        <v>-2.9764362015929904</v>
      </c>
      <c r="I13" s="465">
        <v>-0.53957828384505091</v>
      </c>
      <c r="J13" s="465">
        <v>-4.6817700307338814</v>
      </c>
      <c r="K13" s="465">
        <v>-5.7087969670056156</v>
      </c>
      <c r="L13" s="465">
        <v>-5.5850367029022339</v>
      </c>
      <c r="M13" s="465">
        <v>-4.2999999999999696</v>
      </c>
      <c r="N13" s="465">
        <v>-2.8999999999999573</v>
      </c>
      <c r="O13" s="465">
        <v>-2.8999999999999959</v>
      </c>
      <c r="P13" s="465">
        <v>-2.8999999999999488</v>
      </c>
      <c r="Q13" s="465">
        <v>-2.8999999999999617</v>
      </c>
      <c r="R13" s="465">
        <v>-2.8999999999999986</v>
      </c>
    </row>
    <row r="14" spans="2:21" ht="13.5" customHeight="1">
      <c r="B14" s="464" t="s">
        <v>1042</v>
      </c>
      <c r="C14" s="464" t="s">
        <v>1042</v>
      </c>
      <c r="D14" s="465">
        <v>-1.7374161559823766</v>
      </c>
      <c r="E14" s="465">
        <v>-2.0897168877237919</v>
      </c>
      <c r="F14" s="465">
        <v>-3.0854107710613472</v>
      </c>
      <c r="G14" s="465">
        <v>-6.8790409471327845</v>
      </c>
      <c r="H14" s="465">
        <v>-4.4398232363283103</v>
      </c>
      <c r="I14" s="465">
        <v>-3.3684250359428285</v>
      </c>
      <c r="J14" s="465">
        <v>-5.1244714026780223</v>
      </c>
      <c r="K14" s="465">
        <v>-7.4344606248924041</v>
      </c>
      <c r="L14" s="465">
        <v>-10.385295772091064</v>
      </c>
      <c r="M14" s="465">
        <v>-7.8081538187770843</v>
      </c>
      <c r="N14" s="465">
        <v>-6.6831538187771322</v>
      </c>
      <c r="O14" s="465">
        <v>-5.5331538187770892</v>
      </c>
      <c r="P14" s="465">
        <v>-4.2341538187770658</v>
      </c>
      <c r="Q14" s="465">
        <v>-3.0351538187771285</v>
      </c>
      <c r="R14" s="465">
        <v>-3.0351538187771072</v>
      </c>
    </row>
    <row r="15" spans="2:21" ht="13.5" customHeight="1">
      <c r="B15" s="464" t="s">
        <v>1043</v>
      </c>
      <c r="C15" s="464" t="s">
        <v>1043</v>
      </c>
      <c r="D15" s="465">
        <v>-1.6426729214876206</v>
      </c>
      <c r="E15" s="465">
        <v>-0.64604144591004853</v>
      </c>
      <c r="F15" s="465">
        <v>-0.29968211787824778</v>
      </c>
      <c r="G15" s="465">
        <v>-0.77443365351261795</v>
      </c>
      <c r="H15" s="465">
        <v>0.66132175760573408</v>
      </c>
      <c r="I15" s="465">
        <v>2.9631655595847621</v>
      </c>
      <c r="J15" s="465">
        <v>-3.4005759075970134</v>
      </c>
      <c r="K15" s="465">
        <v>-7.0646479832293148</v>
      </c>
      <c r="L15" s="465">
        <v>-4.1000828518639283</v>
      </c>
      <c r="M15" s="465">
        <v>-4.9892631179108902</v>
      </c>
      <c r="N15" s="465">
        <v>-3.4508116276990499</v>
      </c>
      <c r="O15" s="465">
        <v>-3.1399850545706673</v>
      </c>
      <c r="P15" s="465">
        <v>-2.904857393474924</v>
      </c>
      <c r="Q15" s="465">
        <v>-2.8001826919788821</v>
      </c>
      <c r="R15" s="465">
        <v>-3.1814140001935978</v>
      </c>
    </row>
    <row r="16" spans="2:21" ht="13.5" customHeight="1">
      <c r="B16" s="464" t="s">
        <v>1044</v>
      </c>
      <c r="C16" s="464" t="s">
        <v>1044</v>
      </c>
      <c r="D16" s="465">
        <v>-4.0873648330372534</v>
      </c>
      <c r="E16" s="465">
        <v>-4.2457132498784702</v>
      </c>
      <c r="F16" s="465">
        <v>-5.881134408520051</v>
      </c>
      <c r="G16" s="465">
        <v>-4.7247382204885149</v>
      </c>
      <c r="H16" s="465">
        <v>-2.4079882855317778</v>
      </c>
      <c r="I16" s="465">
        <v>-3.2437341985822634</v>
      </c>
      <c r="J16" s="465">
        <v>-3.1881628033757305</v>
      </c>
      <c r="K16" s="465">
        <v>-2.9839512685015053</v>
      </c>
      <c r="L16" s="465">
        <v>-1.8418765089997302</v>
      </c>
      <c r="M16" s="465">
        <v>-0.76901901312628651</v>
      </c>
      <c r="N16" s="465">
        <v>-0.63770858916022555</v>
      </c>
      <c r="O16" s="465">
        <v>-0.31309616295025366</v>
      </c>
      <c r="P16" s="465">
        <v>-0.68436402193340318</v>
      </c>
      <c r="Q16" s="465">
        <v>-1.0552833909508463</v>
      </c>
      <c r="R16" s="465">
        <v>-1.055205412606433</v>
      </c>
    </row>
    <row r="17" spans="2:34" ht="13.5" customHeight="1">
      <c r="B17" s="464" t="s">
        <v>241</v>
      </c>
      <c r="C17" s="464" t="s">
        <v>241</v>
      </c>
      <c r="D17" s="465">
        <v>-4.1823592501159617</v>
      </c>
      <c r="E17" s="465">
        <v>-4.3801746132820689</v>
      </c>
      <c r="F17" s="465">
        <v>-1.9366091212291798</v>
      </c>
      <c r="G17" s="465">
        <v>-0.23144411968206774</v>
      </c>
      <c r="H17" s="465">
        <v>1.9349397341705117</v>
      </c>
      <c r="I17" s="465">
        <v>-0.17206029058985914</v>
      </c>
      <c r="J17" s="465">
        <v>2.0595200489934085</v>
      </c>
      <c r="K17" s="465">
        <v>-1.6069101499642242</v>
      </c>
      <c r="L17" s="465">
        <v>5.1451342210864679</v>
      </c>
      <c r="M17" s="465">
        <v>6.9863291916645709</v>
      </c>
      <c r="N17" s="465">
        <v>4.5118242884457311</v>
      </c>
      <c r="O17" s="465">
        <v>4.2511061486862349</v>
      </c>
      <c r="P17" s="465">
        <v>6.0300203366346414</v>
      </c>
      <c r="Q17" s="465">
        <v>4.6695679571724176</v>
      </c>
      <c r="R17" s="465">
        <v>5.0780676671584528</v>
      </c>
    </row>
    <row r="18" spans="2:34" ht="13.5" customHeight="1">
      <c r="B18" s="464" t="s">
        <v>1045</v>
      </c>
      <c r="C18" s="464" t="s">
        <v>1045</v>
      </c>
      <c r="D18" s="465">
        <v>-1.6300607611579844E-2</v>
      </c>
      <c r="E18" s="465">
        <v>-0.38333281357524107</v>
      </c>
      <c r="F18" s="465">
        <v>-0.47588230921634794</v>
      </c>
      <c r="G18" s="465">
        <v>1.3048676007928559</v>
      </c>
      <c r="H18" s="465">
        <v>-4.0845534222335056E-2</v>
      </c>
      <c r="I18" s="465">
        <v>-1.953982197476348</v>
      </c>
      <c r="J18" s="465">
        <v>-1.4234182495162517</v>
      </c>
      <c r="K18" s="465">
        <v>-0.85289442068213894</v>
      </c>
      <c r="L18" s="465">
        <v>-1.5702012445805491</v>
      </c>
      <c r="M18" s="465">
        <v>-1.535977506739451</v>
      </c>
      <c r="N18" s="465">
        <v>-2.4764667418803099</v>
      </c>
      <c r="O18" s="465">
        <v>-3.0686978294758216</v>
      </c>
      <c r="P18" s="465">
        <v>-3.0272794569511694</v>
      </c>
      <c r="Q18" s="465">
        <v>-3.4388241766243959</v>
      </c>
      <c r="R18" s="465">
        <v>-3.7907586447336139</v>
      </c>
      <c r="T18" s="512"/>
      <c r="U18" s="512"/>
      <c r="V18" s="512"/>
      <c r="W18" s="512"/>
      <c r="X18" s="512"/>
      <c r="Y18" s="512"/>
      <c r="Z18" s="512"/>
      <c r="AA18" s="512"/>
      <c r="AB18" s="512"/>
      <c r="AC18" s="512"/>
      <c r="AD18" s="512"/>
      <c r="AE18" s="512"/>
      <c r="AF18" s="512"/>
      <c r="AG18" s="512"/>
      <c r="AH18" s="512"/>
    </row>
    <row r="19" spans="2:34" ht="13.5" customHeight="1">
      <c r="B19" s="464" t="s">
        <v>1046</v>
      </c>
      <c r="C19" s="464" t="s">
        <v>1046</v>
      </c>
      <c r="D19" s="465">
        <v>-10.732206582873241</v>
      </c>
      <c r="E19" s="465">
        <v>-17.805147850017637</v>
      </c>
      <c r="F19" s="465">
        <v>-15.555419451599949</v>
      </c>
      <c r="G19" s="465">
        <v>-5.9423930650403234</v>
      </c>
      <c r="H19" s="465">
        <v>5.6435428610796565</v>
      </c>
      <c r="I19" s="465">
        <v>4.6595615665317975</v>
      </c>
      <c r="J19" s="465">
        <v>-1.2083075516581212</v>
      </c>
      <c r="K19" s="465">
        <v>1.7981534484832604</v>
      </c>
      <c r="L19" s="465">
        <v>6.6257920296794115</v>
      </c>
      <c r="M19" s="465">
        <v>4.809841489722599</v>
      </c>
      <c r="N19" s="465">
        <v>5.0899276989464912</v>
      </c>
      <c r="O19" s="465">
        <v>3.5028560406781706</v>
      </c>
      <c r="P19" s="465">
        <v>3.2513068537286784</v>
      </c>
      <c r="Q19" s="465">
        <v>4.3259915815312002</v>
      </c>
      <c r="R19" s="465">
        <v>5.7517715925800124</v>
      </c>
    </row>
    <row r="20" spans="2:34" ht="13.5" customHeight="1">
      <c r="B20" s="464" t="s">
        <v>1047</v>
      </c>
      <c r="C20" s="464" t="s">
        <v>239</v>
      </c>
      <c r="D20" s="465">
        <v>-1.5681676554543174</v>
      </c>
      <c r="E20" s="465">
        <v>-2.0421403741939628</v>
      </c>
      <c r="F20" s="465">
        <v>-2.978643552028811</v>
      </c>
      <c r="G20" s="465">
        <v>-3.274114529608485</v>
      </c>
      <c r="H20" s="465">
        <v>-2.9047165922354021</v>
      </c>
      <c r="I20" s="465">
        <v>-2.2375580418039753</v>
      </c>
      <c r="J20" s="465">
        <v>-5.4227730830217364</v>
      </c>
      <c r="K20" s="465">
        <v>-4.8258078139864411</v>
      </c>
      <c r="L20" s="465">
        <v>-6.7259625818539117</v>
      </c>
      <c r="M20" s="465">
        <v>-5.0755425736211226</v>
      </c>
      <c r="N20" s="465">
        <v>-3.9660774721798902</v>
      </c>
      <c r="O20" s="465">
        <v>-3.0234870812201131</v>
      </c>
      <c r="P20" s="465">
        <v>-3.0319673713437543</v>
      </c>
      <c r="Q20" s="465">
        <v>-2.9617718830165813</v>
      </c>
      <c r="R20" s="465">
        <v>-3.0082769310240325</v>
      </c>
    </row>
    <row r="21" spans="2:34" ht="13.5" customHeight="1">
      <c r="B21" s="464" t="s">
        <v>1048</v>
      </c>
      <c r="C21" s="464" t="s">
        <v>1048</v>
      </c>
      <c r="D21" s="465">
        <v>-2.5822911516814639</v>
      </c>
      <c r="E21" s="465">
        <v>-1.9470670053957844</v>
      </c>
      <c r="F21" s="465">
        <v>-2.3004542633156153</v>
      </c>
      <c r="G21" s="465">
        <v>-3.2433695126502715</v>
      </c>
      <c r="H21" s="465">
        <v>-3.02906944516134</v>
      </c>
      <c r="I21" s="465">
        <v>-2.5334125261085854</v>
      </c>
      <c r="J21" s="465">
        <v>-2.7643067947241229</v>
      </c>
      <c r="K21" s="465">
        <v>-2.7668236732642901</v>
      </c>
      <c r="L21" s="465">
        <v>-4.1583746879935788</v>
      </c>
      <c r="M21" s="465">
        <v>-3.4999999999999516</v>
      </c>
      <c r="N21" s="465">
        <v>-3.0000000000000004</v>
      </c>
      <c r="O21" s="465">
        <v>-3</v>
      </c>
      <c r="P21" s="465">
        <v>-2.9999999999999933</v>
      </c>
      <c r="Q21" s="465">
        <v>-2.9999999999999774</v>
      </c>
      <c r="R21" s="465">
        <v>-3.0000000000000036</v>
      </c>
      <c r="S21" s="465"/>
    </row>
    <row r="22" spans="2:34" ht="13.5" customHeight="1">
      <c r="B22" s="464" t="s">
        <v>1049</v>
      </c>
      <c r="C22" s="464" t="s">
        <v>1049</v>
      </c>
      <c r="D22" s="465">
        <v>-7.8119944899725082</v>
      </c>
      <c r="E22" s="465">
        <v>-4.0073828915224681</v>
      </c>
      <c r="F22" s="465">
        <v>-6.7458076070415487</v>
      </c>
      <c r="G22" s="465">
        <v>-3.9663133165414455</v>
      </c>
      <c r="H22" s="465">
        <v>-6.7912422652938869</v>
      </c>
      <c r="I22" s="465">
        <v>-7.5191990510305633</v>
      </c>
      <c r="J22" s="465">
        <v>-17.442903259536198</v>
      </c>
      <c r="K22" s="465">
        <v>-12.096724731895216</v>
      </c>
      <c r="L22" s="465">
        <v>-9.9268763872184103</v>
      </c>
      <c r="M22" s="465">
        <v>-7.2808916575432745</v>
      </c>
      <c r="N22" s="465">
        <v>-8.4413886088735222</v>
      </c>
      <c r="O22" s="465">
        <v>-7.3359525550958979</v>
      </c>
      <c r="P22" s="465">
        <v>-5.8603564436989988</v>
      </c>
      <c r="Q22" s="465">
        <v>-5.310637401515871</v>
      </c>
      <c r="R22" s="465">
        <v>-5.3660526045458772</v>
      </c>
    </row>
    <row r="23" spans="2:34" ht="13.5" customHeight="1">
      <c r="B23" s="464" t="s">
        <v>1050</v>
      </c>
      <c r="C23" s="464" t="s">
        <v>1050</v>
      </c>
      <c r="D23" s="465">
        <v>-3.1579096228293317</v>
      </c>
      <c r="E23" s="465">
        <v>-6.5507723821634816</v>
      </c>
      <c r="F23" s="465">
        <v>-0.1473901812966126</v>
      </c>
      <c r="G23" s="465">
        <v>-2.0616639573410267</v>
      </c>
      <c r="H23" s="465">
        <v>-1.0922021556096366</v>
      </c>
      <c r="I23" s="465">
        <v>-0.26391282019138662</v>
      </c>
      <c r="J23" s="465">
        <v>-3.1165256428739019</v>
      </c>
      <c r="K23" s="465">
        <v>-1.7188743103867854</v>
      </c>
      <c r="L23" s="465">
        <v>-0.73229191705766261</v>
      </c>
      <c r="M23" s="465">
        <v>-2.3097904056437546</v>
      </c>
      <c r="N23" s="465">
        <v>-2.3831681534668565</v>
      </c>
      <c r="O23" s="465">
        <v>-2.3538003140083772</v>
      </c>
      <c r="P23" s="465">
        <v>-2.4740408580200115</v>
      </c>
      <c r="Q23" s="465">
        <v>-2.6111084956962869</v>
      </c>
      <c r="R23" s="465">
        <v>-2.2271069270784309</v>
      </c>
    </row>
    <row r="24" spans="2:34" ht="13.5" customHeight="1">
      <c r="B24" s="464" t="s">
        <v>1051</v>
      </c>
      <c r="C24" s="464" t="s">
        <v>1051</v>
      </c>
      <c r="D24" s="465">
        <v>-3.6405155243144574</v>
      </c>
      <c r="E24" s="465">
        <v>-1.4722568294884999</v>
      </c>
      <c r="F24" s="465">
        <v>1.5085470486243271E-2</v>
      </c>
      <c r="G24" s="465">
        <v>0.16106740249249338</v>
      </c>
      <c r="H24" s="465">
        <v>-1.0087268504311051</v>
      </c>
      <c r="I24" s="465">
        <v>-2.1130165881376497</v>
      </c>
      <c r="J24" s="465">
        <v>-2.3961235982284905</v>
      </c>
      <c r="K24" s="465">
        <v>-2.6078269500832727</v>
      </c>
      <c r="L24" s="465">
        <v>-2.1542770123148758</v>
      </c>
      <c r="M24" s="465">
        <v>-1.7590520978579018</v>
      </c>
      <c r="N24" s="465">
        <v>-1.7585066403849408</v>
      </c>
      <c r="O24" s="465">
        <v>-1.8130239628984608</v>
      </c>
      <c r="P24" s="465">
        <v>-2.1134708395763</v>
      </c>
      <c r="Q24" s="465">
        <v>-2.2192759555383801</v>
      </c>
      <c r="R24" s="465">
        <v>-2.5331117573190194</v>
      </c>
    </row>
    <row r="25" spans="2:34" ht="15.75" customHeight="1">
      <c r="B25" s="464" t="s">
        <v>1052</v>
      </c>
      <c r="C25" s="464" t="s">
        <v>1052</v>
      </c>
      <c r="D25" s="465">
        <v>-2.8969052596917519</v>
      </c>
      <c r="E25" s="465">
        <v>-0.78110324667553466</v>
      </c>
      <c r="F25" s="465">
        <v>-0.39736458440936123</v>
      </c>
      <c r="G25" s="465">
        <v>-0.40775438361455368</v>
      </c>
      <c r="H25" s="465">
        <v>0.19720991712384442</v>
      </c>
      <c r="I25" s="465">
        <v>8.8390937777690151E-2</v>
      </c>
      <c r="J25" s="465">
        <v>-4.6552383449815791</v>
      </c>
      <c r="K25" s="465">
        <v>-3.1388497127516692</v>
      </c>
      <c r="L25" s="465">
        <v>0.66398921772857833</v>
      </c>
      <c r="M25" s="465" t="s">
        <v>145</v>
      </c>
      <c r="N25" s="465" t="s">
        <v>145</v>
      </c>
      <c r="O25" s="465" t="s">
        <v>145</v>
      </c>
      <c r="P25" s="465" t="s">
        <v>145</v>
      </c>
      <c r="Q25" s="465" t="s">
        <v>145</v>
      </c>
      <c r="R25" s="465" t="s">
        <v>145</v>
      </c>
    </row>
    <row r="26" spans="2:34" ht="13.5" customHeight="1">
      <c r="B26" s="464" t="s">
        <v>126</v>
      </c>
      <c r="C26" s="464" t="s">
        <v>126</v>
      </c>
      <c r="D26" s="465">
        <v>-5.753333226442888</v>
      </c>
      <c r="E26" s="465">
        <v>-6.6822208348336982</v>
      </c>
      <c r="F26" s="465">
        <v>-7.4530072149723123</v>
      </c>
      <c r="G26" s="465">
        <v>-7.3664445877144917</v>
      </c>
      <c r="H26" s="465">
        <v>-6.9086675412477847</v>
      </c>
      <c r="I26" s="465">
        <v>-7.3997744484436456</v>
      </c>
      <c r="J26" s="465">
        <v>-8.1297059398373523</v>
      </c>
      <c r="K26" s="465">
        <v>-7.1397446182121129</v>
      </c>
      <c r="L26" s="465">
        <v>-6.0450110124511038</v>
      </c>
      <c r="M26" s="465">
        <v>-5.2165511224997703</v>
      </c>
      <c r="N26" s="465">
        <v>-4.4158398174382185</v>
      </c>
      <c r="O26" s="465">
        <v>-3.9436268928623384</v>
      </c>
      <c r="P26" s="465">
        <v>-3.9105332797413377</v>
      </c>
      <c r="Q26" s="465">
        <v>-4.0483851632769747</v>
      </c>
      <c r="R26" s="465">
        <v>-3.929109358073223</v>
      </c>
    </row>
    <row r="27" spans="2:34" ht="13.5" customHeight="1">
      <c r="B27" s="464" t="s">
        <v>1053</v>
      </c>
      <c r="C27" s="464" t="s">
        <v>1053</v>
      </c>
      <c r="D27" s="465">
        <v>-3.0682698809902313</v>
      </c>
      <c r="E27" s="465">
        <v>-2.516820406802581</v>
      </c>
      <c r="F27" s="465">
        <v>-5.7901954196974694</v>
      </c>
      <c r="G27" s="465">
        <v>-3.7329262983115141</v>
      </c>
      <c r="H27" s="465">
        <v>-0.5900989580674314</v>
      </c>
      <c r="I27" s="465">
        <v>-7.8241980000568562E-2</v>
      </c>
      <c r="J27" s="465">
        <v>-3.2548439920659056</v>
      </c>
      <c r="K27" s="465">
        <v>-0.75191452966464112</v>
      </c>
      <c r="L27" s="465">
        <v>-1.3488954123682961</v>
      </c>
      <c r="M27" s="465">
        <v>-3.7863316321339338</v>
      </c>
      <c r="N27" s="465">
        <v>-4.2017335648446741</v>
      </c>
      <c r="O27" s="465">
        <v>-4.2493720673609454</v>
      </c>
      <c r="P27" s="465">
        <v>-4.3435527083328953</v>
      </c>
      <c r="Q27" s="465">
        <v>-4.4971694275288794</v>
      </c>
      <c r="R27" s="465">
        <v>-4.5279885248819998</v>
      </c>
    </row>
    <row r="28" spans="2:34" ht="13.5" customHeight="1">
      <c r="B28" s="464" t="s">
        <v>1054</v>
      </c>
      <c r="C28" s="464" t="s">
        <v>1054</v>
      </c>
      <c r="D28" s="465">
        <v>-3.1322313833500655</v>
      </c>
      <c r="E28" s="465">
        <v>-5.5703646010910113</v>
      </c>
      <c r="F28" s="465">
        <v>-4.8528125511481477</v>
      </c>
      <c r="G28" s="465">
        <v>-5.5086716053659615</v>
      </c>
      <c r="H28" s="465">
        <v>-4.663214939008161</v>
      </c>
      <c r="I28" s="465">
        <v>-3.345978291055534</v>
      </c>
      <c r="J28" s="465">
        <v>-5.5955480908956403</v>
      </c>
      <c r="K28" s="465">
        <v>-1.2895013492326992</v>
      </c>
      <c r="L28" s="465">
        <v>-1.6324735586685852</v>
      </c>
      <c r="M28" s="465">
        <v>-3.3509089716458074</v>
      </c>
      <c r="N28" s="465">
        <v>-3.4402818791976895</v>
      </c>
      <c r="O28" s="465">
        <v>-3.3321564294935109</v>
      </c>
      <c r="P28" s="465">
        <v>-3.5148619269871313</v>
      </c>
      <c r="Q28" s="465">
        <v>-2.9481446024306046</v>
      </c>
      <c r="R28" s="465">
        <v>-2.9289791620072436</v>
      </c>
    </row>
    <row r="29" spans="2:34" ht="13.5" customHeight="1">
      <c r="B29" s="464" t="s">
        <v>1055</v>
      </c>
      <c r="C29" s="464" t="s">
        <v>1055</v>
      </c>
      <c r="D29" s="465">
        <v>-1.9606860629958593</v>
      </c>
      <c r="E29" s="465">
        <v>-2.850272850736784</v>
      </c>
      <c r="F29" s="465">
        <v>-1.1072338585617003</v>
      </c>
      <c r="G29" s="465">
        <v>-2.1028865537499266</v>
      </c>
      <c r="H29" s="465">
        <v>-1.3378295448813067</v>
      </c>
      <c r="I29" s="465">
        <v>-1.4207855501080902</v>
      </c>
      <c r="J29" s="465">
        <v>-3.9568184442439751</v>
      </c>
      <c r="K29" s="465">
        <v>-2.78857340137538</v>
      </c>
      <c r="L29" s="465">
        <v>-6.7640125773114166</v>
      </c>
      <c r="M29" s="465">
        <v>-3.0131597451151255</v>
      </c>
      <c r="N29" s="465">
        <v>-3.3399901991371688</v>
      </c>
      <c r="O29" s="465">
        <v>-4.2627256098826827</v>
      </c>
      <c r="P29" s="465">
        <v>-3.9403087806925847</v>
      </c>
      <c r="Q29" s="465">
        <v>-4.6403405279370622</v>
      </c>
      <c r="R29" s="465">
        <v>-4.8325622555324443</v>
      </c>
    </row>
    <row r="30" spans="2:34" ht="13.5" customHeight="1">
      <c r="B30" s="464" t="s">
        <v>1056</v>
      </c>
      <c r="C30" s="464" t="s">
        <v>1056</v>
      </c>
      <c r="D30" s="465">
        <v>-3.0825625904117899</v>
      </c>
      <c r="E30" s="465">
        <v>-4.1689077721451415</v>
      </c>
      <c r="F30" s="465">
        <v>-4.9023106657956648</v>
      </c>
      <c r="G30" s="465">
        <v>-5.1500797455622749</v>
      </c>
      <c r="H30" s="465">
        <v>-4.3455961314350136</v>
      </c>
      <c r="I30" s="465">
        <v>-4.5494719944255069</v>
      </c>
      <c r="J30" s="465">
        <v>-8.1827097026628248</v>
      </c>
      <c r="K30" s="465">
        <v>-8.6158888028411198</v>
      </c>
      <c r="L30" s="465">
        <v>-10.359408449791276</v>
      </c>
      <c r="M30" s="465">
        <v>-7.8093850802750646</v>
      </c>
      <c r="N30" s="465">
        <v>-8.011912401068745</v>
      </c>
      <c r="O30" s="465">
        <v>-7.2294646071046298</v>
      </c>
      <c r="P30" s="465">
        <v>-5.9407635755197816</v>
      </c>
      <c r="Q30" s="465">
        <v>-5.0256659942101694</v>
      </c>
      <c r="R30" s="465">
        <v>-4.0151662777418409</v>
      </c>
    </row>
    <row r="31" spans="2:34" ht="13.5" customHeight="1">
      <c r="B31" s="464" t="s">
        <v>240</v>
      </c>
      <c r="C31" s="464" t="s">
        <v>240</v>
      </c>
      <c r="D31" s="465">
        <v>-2.8864611173882606</v>
      </c>
      <c r="E31" s="465">
        <v>-1.8217005115411629</v>
      </c>
      <c r="F31" s="465">
        <v>-3.9450645688304462</v>
      </c>
      <c r="G31" s="465">
        <v>-2.8616094344945102</v>
      </c>
      <c r="H31" s="465">
        <v>-4.7420606742363631</v>
      </c>
      <c r="I31" s="465">
        <v>-1.6840023003898494</v>
      </c>
      <c r="J31" s="465">
        <v>-5.3732775516854447</v>
      </c>
      <c r="K31" s="465">
        <v>-4.8285086883976991</v>
      </c>
      <c r="L31" s="465">
        <v>-4.8134738860612476</v>
      </c>
      <c r="M31" s="465">
        <v>-4.8000000000000602</v>
      </c>
      <c r="N31" s="465">
        <v>-4.2999999999999661</v>
      </c>
      <c r="O31" s="465">
        <v>-3.5999999999999672</v>
      </c>
      <c r="P31" s="465">
        <v>-3.0000000000000369</v>
      </c>
      <c r="Q31" s="465">
        <v>-2.9999999999999938</v>
      </c>
      <c r="R31" s="465">
        <v>-2.9999999999999836</v>
      </c>
    </row>
    <row r="32" spans="2:34" ht="13.5" customHeight="1">
      <c r="B32" s="464" t="s">
        <v>1057</v>
      </c>
      <c r="C32" s="464" t="s">
        <v>1057</v>
      </c>
      <c r="D32" s="465">
        <v>-1.5850120585424641</v>
      </c>
      <c r="E32" s="465">
        <v>-1.9427987889215812</v>
      </c>
      <c r="F32" s="465">
        <v>-1.5465639081861022</v>
      </c>
      <c r="G32" s="465">
        <v>-0.65037077753363326</v>
      </c>
      <c r="H32" s="465">
        <v>-0.85315645169788101</v>
      </c>
      <c r="I32" s="465">
        <v>-1.4655071840032923</v>
      </c>
      <c r="J32" s="465">
        <v>-5.3168798508718238</v>
      </c>
      <c r="K32" s="465">
        <v>-2.619252648879729</v>
      </c>
      <c r="L32" s="465">
        <v>-3.2583799050194981</v>
      </c>
      <c r="M32" s="465">
        <v>-6.0032457926020619</v>
      </c>
      <c r="N32" s="465">
        <v>-4.5999924002556423</v>
      </c>
      <c r="O32" s="465">
        <v>-3.7999942926074977</v>
      </c>
      <c r="P32" s="465">
        <v>-3.4000040571995558</v>
      </c>
      <c r="Q32" s="465">
        <v>-3.1000083434245136</v>
      </c>
      <c r="R32" s="465">
        <v>-2.6623909555329011</v>
      </c>
    </row>
    <row r="33" spans="2:18" ht="13.5" customHeight="1">
      <c r="B33" s="464" t="s">
        <v>1058</v>
      </c>
      <c r="C33" s="464" t="s">
        <v>1058</v>
      </c>
      <c r="D33" s="465">
        <v>-9.8947187624995721</v>
      </c>
      <c r="E33" s="465">
        <v>-6.6606784677433524</v>
      </c>
      <c r="F33" s="465">
        <v>-5.1199032565911882</v>
      </c>
      <c r="G33" s="465">
        <v>-1.9930681127950811</v>
      </c>
      <c r="H33" s="465">
        <v>-5.5856004802657999</v>
      </c>
      <c r="I33" s="465">
        <v>0.1121524245212798</v>
      </c>
      <c r="J33" s="465">
        <v>-5.381764001063547</v>
      </c>
      <c r="K33" s="465">
        <v>-3.6394769792054804</v>
      </c>
      <c r="L33" s="465">
        <v>-5.228487163746717</v>
      </c>
      <c r="M33" s="465">
        <v>-4.8297782628145827</v>
      </c>
      <c r="N33" s="465">
        <v>-3.1460740264124132</v>
      </c>
      <c r="O33" s="465">
        <v>-2.0631069513159672</v>
      </c>
      <c r="P33" s="465">
        <v>-1.1742898679452081</v>
      </c>
      <c r="Q33" s="465">
        <v>-0.45787178536578915</v>
      </c>
      <c r="R33" s="465">
        <v>0.53199536620092036</v>
      </c>
    </row>
    <row r="34" spans="2:18" ht="13.5" customHeight="1">
      <c r="B34" s="464" t="s">
        <v>1059</v>
      </c>
      <c r="C34" s="464" t="s">
        <v>1059</v>
      </c>
      <c r="D34" s="465">
        <v>-1.3152947690143701</v>
      </c>
      <c r="E34" s="465">
        <v>-2.7831926237244065</v>
      </c>
      <c r="F34" s="465">
        <v>-3.8679611981127335</v>
      </c>
      <c r="G34" s="465">
        <v>-2.8579589752378256</v>
      </c>
      <c r="H34" s="465">
        <v>-3.402407608454574</v>
      </c>
      <c r="I34" s="465">
        <v>-3.9065481326486138</v>
      </c>
      <c r="J34" s="465">
        <v>-5.6100868613847741</v>
      </c>
      <c r="K34" s="465">
        <v>-11.016049151315908</v>
      </c>
      <c r="L34" s="465">
        <v>-5.1926165469775878</v>
      </c>
      <c r="M34" s="465">
        <v>-4.7850638265645191</v>
      </c>
      <c r="N34" s="465">
        <v>-5.0016556232697935</v>
      </c>
      <c r="O34" s="465">
        <v>-4.9922604279594447</v>
      </c>
      <c r="P34" s="465">
        <v>-4.5031283254261467</v>
      </c>
      <c r="Q34" s="465">
        <v>-4.0073426226857025</v>
      </c>
      <c r="R34" s="465">
        <v>-3.769026185140075</v>
      </c>
    </row>
    <row r="35" spans="2:18" ht="13.5" customHeight="1">
      <c r="B35" s="464" t="s">
        <v>242</v>
      </c>
      <c r="C35" s="464" t="s">
        <v>242</v>
      </c>
      <c r="D35" s="465">
        <v>1.3472332724256084</v>
      </c>
      <c r="E35" s="465">
        <v>0.57721603692151668</v>
      </c>
      <c r="F35" s="465">
        <v>1.1679354250953098</v>
      </c>
      <c r="G35" s="465">
        <v>-2.6890626139071316</v>
      </c>
      <c r="H35" s="465">
        <v>-5.8333651499477481</v>
      </c>
      <c r="I35" s="465">
        <v>-4.9870982353306825</v>
      </c>
      <c r="J35" s="465">
        <v>-5.3639186403670251</v>
      </c>
      <c r="K35" s="465">
        <v>-4.0493775064497317</v>
      </c>
      <c r="L35" s="465">
        <v>-3.3017950578764914</v>
      </c>
      <c r="M35" s="465">
        <v>-4.5188141135333506</v>
      </c>
      <c r="N35" s="465">
        <v>-4.0549811997175542</v>
      </c>
      <c r="O35" s="465">
        <v>-3.4872010578905677</v>
      </c>
      <c r="P35" s="465">
        <v>-2.7198478974095139</v>
      </c>
      <c r="Q35" s="465">
        <v>-2.4420303864702082</v>
      </c>
      <c r="R35" s="465">
        <v>-2.4832696828617844</v>
      </c>
    </row>
    <row r="36" spans="2:18" ht="13.5" customHeight="1">
      <c r="B36" s="464" t="s">
        <v>1060</v>
      </c>
      <c r="C36" s="464" t="s">
        <v>1060</v>
      </c>
      <c r="D36" s="465">
        <v>-1.2411129005888348</v>
      </c>
      <c r="E36" s="465">
        <v>-1.5497209424811835</v>
      </c>
      <c r="F36" s="465">
        <v>-1.8348059644323982</v>
      </c>
      <c r="G36" s="465">
        <v>-1.7795959097690963</v>
      </c>
      <c r="H36" s="465">
        <v>-3.0233582109007293</v>
      </c>
      <c r="I36" s="465">
        <v>-0.26239794909112185</v>
      </c>
      <c r="J36" s="465">
        <v>-2.1812622647654263</v>
      </c>
      <c r="K36" s="465">
        <v>-1.2170199461413944</v>
      </c>
      <c r="L36" s="465">
        <v>-1.9760337106142496</v>
      </c>
      <c r="M36" s="465">
        <v>-1.0863260483975168</v>
      </c>
      <c r="N36" s="465">
        <v>-0.73822195687850123</v>
      </c>
      <c r="O36" s="465">
        <v>-0.23481477868595554</v>
      </c>
      <c r="P36" s="465">
        <v>7.3670073064337274E-2</v>
      </c>
      <c r="Q36" s="465">
        <v>6.5960835240414406E-2</v>
      </c>
      <c r="R36" s="465">
        <v>-6.1620249193522242E-2</v>
      </c>
    </row>
    <row r="37" spans="2:18" ht="13.5" customHeight="1">
      <c r="B37" s="464" t="s">
        <v>1061</v>
      </c>
      <c r="C37" s="464" t="s">
        <v>1061</v>
      </c>
      <c r="D37" s="465">
        <v>-6.1246429743690651</v>
      </c>
      <c r="E37" s="465">
        <v>-6.7468517092152069</v>
      </c>
      <c r="F37" s="465">
        <v>-4.4635260771213652</v>
      </c>
      <c r="G37" s="465">
        <v>-4.1167063271102133</v>
      </c>
      <c r="H37" s="465">
        <v>-3.0079686355482003</v>
      </c>
      <c r="I37" s="465">
        <v>-3.5581572241521795</v>
      </c>
      <c r="J37" s="465">
        <v>-4.8163954338575783</v>
      </c>
      <c r="K37" s="465">
        <v>-5.9054290398808131</v>
      </c>
      <c r="L37" s="465">
        <v>-6.8768732263778363</v>
      </c>
      <c r="M37" s="465">
        <v>-5.2999921427460404</v>
      </c>
      <c r="N37" s="465">
        <v>-4.1039069420309966</v>
      </c>
      <c r="O37" s="465">
        <v>-3.0063330712773411</v>
      </c>
      <c r="P37" s="465">
        <v>-3.0170595561892295</v>
      </c>
      <c r="Q37" s="465">
        <v>-3.017268065912043</v>
      </c>
      <c r="R37" s="465">
        <v>-3.0175189883698645</v>
      </c>
    </row>
    <row r="38" spans="2:18" ht="13.5" customHeight="1">
      <c r="B38" s="464" t="s">
        <v>127</v>
      </c>
      <c r="C38" s="464" t="s">
        <v>127</v>
      </c>
      <c r="D38" s="465">
        <v>-2.4288198434188923</v>
      </c>
      <c r="E38" s="465">
        <v>-3.7986201321809023</v>
      </c>
      <c r="F38" s="465">
        <v>-4.643867070551801</v>
      </c>
      <c r="G38" s="465">
        <v>-5.4148918867585421</v>
      </c>
      <c r="H38" s="465">
        <v>-4.3149828047863963</v>
      </c>
      <c r="I38" s="465">
        <v>-4.6903902061262031</v>
      </c>
      <c r="J38" s="465">
        <v>-5.580140572587668</v>
      </c>
      <c r="K38" s="465">
        <v>-6.028977517574674</v>
      </c>
      <c r="L38" s="465">
        <v>-5.480980374473261</v>
      </c>
      <c r="M38" s="465">
        <v>-5.3317805547850945</v>
      </c>
      <c r="N38" s="465">
        <v>-5.412245929147673</v>
      </c>
      <c r="O38" s="465">
        <v>-5.5653315914722219</v>
      </c>
      <c r="P38" s="465">
        <v>-5.7826884189060213</v>
      </c>
      <c r="Q38" s="465">
        <v>-5.9672192263564092</v>
      </c>
      <c r="R38" s="465">
        <v>-6.095262490578091</v>
      </c>
    </row>
    <row r="39" spans="2:18" ht="13.5" customHeight="1">
      <c r="B39" s="464" t="s">
        <v>1062</v>
      </c>
      <c r="C39" s="464" t="s">
        <v>1062</v>
      </c>
      <c r="D39" s="465">
        <v>-6.2650241831487898</v>
      </c>
      <c r="E39" s="465">
        <v>-4.5497214766184779</v>
      </c>
      <c r="F39" s="465">
        <v>-4.7462200403129495</v>
      </c>
      <c r="G39" s="465">
        <v>-2.4747094100208531</v>
      </c>
      <c r="H39" s="465">
        <v>-2.579697115609588</v>
      </c>
      <c r="I39" s="465">
        <v>-4.4313414244800917</v>
      </c>
      <c r="J39" s="465">
        <v>-8.852328860190644</v>
      </c>
      <c r="K39" s="465">
        <v>-6.7859641773476556</v>
      </c>
      <c r="L39" s="465">
        <v>-5.4359345944070565</v>
      </c>
      <c r="M39" s="465">
        <v>-4.3406320043967419</v>
      </c>
      <c r="N39" s="465">
        <v>-3.9339863556162689</v>
      </c>
      <c r="O39" s="465">
        <v>-2.2784079218282018</v>
      </c>
      <c r="P39" s="465">
        <v>-1.1883079985138019</v>
      </c>
      <c r="Q39" s="465">
        <v>-1.8006309969614328E-2</v>
      </c>
      <c r="R39" s="465">
        <v>0.2152397395576901</v>
      </c>
    </row>
    <row r="40" spans="2:18" ht="13.5" customHeight="1">
      <c r="B40" s="464" t="s">
        <v>1063</v>
      </c>
      <c r="C40" s="464" t="s">
        <v>1063</v>
      </c>
      <c r="D40" s="465">
        <v>-3.9177093072775802</v>
      </c>
      <c r="E40" s="465">
        <v>-2.6820304643264992</v>
      </c>
      <c r="F40" s="465">
        <v>-2.2707575248576406</v>
      </c>
      <c r="G40" s="465">
        <v>-2.5166511620270353</v>
      </c>
      <c r="H40" s="465">
        <v>-2.5716127611711435</v>
      </c>
      <c r="I40" s="465">
        <v>-5.0742004145826742</v>
      </c>
      <c r="J40" s="465">
        <v>-9.5330991347956733</v>
      </c>
      <c r="K40" s="465">
        <v>-6.9989911537366583</v>
      </c>
      <c r="L40" s="465">
        <v>-6.5251643581998708</v>
      </c>
      <c r="M40" s="465">
        <v>-5.4053745428036075</v>
      </c>
      <c r="N40" s="465">
        <v>-6.072069914487412</v>
      </c>
      <c r="O40" s="465">
        <v>-4.2267502873802885</v>
      </c>
      <c r="P40" s="465">
        <v>-3.4145342268679095</v>
      </c>
      <c r="Q40" s="465">
        <v>-2.9565718851437954</v>
      </c>
      <c r="R40" s="465">
        <v>-2.8660512417312458</v>
      </c>
    </row>
    <row r="41" spans="2:18" ht="13.5" customHeight="1">
      <c r="B41" s="464" t="s">
        <v>237</v>
      </c>
      <c r="C41" s="464" t="s">
        <v>237</v>
      </c>
      <c r="D41" s="465">
        <v>-3.8962732474929256</v>
      </c>
      <c r="E41" s="465">
        <v>-3.6633974406036933</v>
      </c>
      <c r="F41" s="465">
        <v>-3.2721040399214036</v>
      </c>
      <c r="G41" s="465">
        <v>-2.9680323313219792</v>
      </c>
      <c r="H41" s="465">
        <v>-3.6626853963732318</v>
      </c>
      <c r="I41" s="465">
        <v>-3.8530515361015238</v>
      </c>
      <c r="J41" s="465">
        <v>-6.4045805227585992</v>
      </c>
      <c r="K41" s="465">
        <v>-6.3011918771547109</v>
      </c>
      <c r="L41" s="465">
        <v>-6.1285959792734692</v>
      </c>
      <c r="M41" s="465">
        <v>-4.9235743308661473</v>
      </c>
      <c r="N41" s="465">
        <v>-4.0089286603728809</v>
      </c>
      <c r="O41" s="465">
        <v>-2.9853002301877392</v>
      </c>
      <c r="P41" s="465">
        <v>-2.9767141858811024</v>
      </c>
      <c r="Q41" s="465">
        <v>-2.9804337269522132</v>
      </c>
      <c r="R41" s="465">
        <v>-3.006475122155567</v>
      </c>
    </row>
    <row r="42" spans="2:18" ht="13.5" customHeight="1">
      <c r="B42" s="464" t="s">
        <v>1064</v>
      </c>
      <c r="C42" s="464" t="s">
        <v>1064</v>
      </c>
      <c r="D42" s="465">
        <v>-4.7184516199499917</v>
      </c>
      <c r="E42" s="465">
        <v>-3.8694029703327382</v>
      </c>
      <c r="F42" s="465">
        <v>-3.9183567249422215</v>
      </c>
      <c r="G42" s="465">
        <v>-6.0693992181545182</v>
      </c>
      <c r="H42" s="465">
        <v>-7.9254644585719971</v>
      </c>
      <c r="I42" s="465">
        <v>-10.822280936549825</v>
      </c>
      <c r="J42" s="465">
        <v>-5.9281661037258928</v>
      </c>
      <c r="K42" s="465">
        <v>-0.28497248652737722</v>
      </c>
      <c r="L42" s="465">
        <v>-2.1458324784606511</v>
      </c>
      <c r="M42" s="465">
        <v>-2.4443697169438594</v>
      </c>
      <c r="N42" s="465">
        <v>-2.559358358573145</v>
      </c>
      <c r="O42" s="465">
        <v>-2.5992538246160666</v>
      </c>
      <c r="P42" s="465">
        <v>-2.6756629202449131</v>
      </c>
      <c r="Q42" s="465">
        <v>-2.67711928273925</v>
      </c>
      <c r="R42" s="465">
        <v>-2.7074146441161533</v>
      </c>
    </row>
    <row r="43" spans="2:18" ht="13.5" customHeight="1">
      <c r="B43" s="464" t="s">
        <v>1065</v>
      </c>
      <c r="C43" s="464" t="s">
        <v>1065</v>
      </c>
      <c r="D43" s="465">
        <v>0.84935607562887738</v>
      </c>
      <c r="E43" s="465">
        <v>-1.9721644862979737</v>
      </c>
      <c r="F43" s="465">
        <v>-8.9792362945382678</v>
      </c>
      <c r="G43" s="465">
        <v>-5.6557038036634397</v>
      </c>
      <c r="H43" s="465">
        <v>-2.6939691763487335</v>
      </c>
      <c r="I43" s="465">
        <v>-2.0528005763249286</v>
      </c>
      <c r="J43" s="465">
        <v>-4.3394089006089933</v>
      </c>
      <c r="K43" s="465">
        <v>-0.66645098044606133</v>
      </c>
      <c r="L43" s="465">
        <v>-1.3627527243450357</v>
      </c>
      <c r="M43" s="465">
        <v>-2.4712110288368989</v>
      </c>
      <c r="N43" s="465">
        <v>-2.4689411336067799</v>
      </c>
      <c r="O43" s="465">
        <v>-2.4774913291884992</v>
      </c>
      <c r="P43" s="465">
        <v>-2.4750321275147478</v>
      </c>
      <c r="Q43" s="465">
        <v>-2.4963314998107791</v>
      </c>
      <c r="R43" s="465">
        <v>-2.518181920965513</v>
      </c>
    </row>
    <row r="44" spans="2:18" ht="13.5" customHeight="1">
      <c r="B44" s="464" t="s">
        <v>1066</v>
      </c>
      <c r="C44" s="464" t="s">
        <v>1066</v>
      </c>
      <c r="D44" s="465">
        <v>-2.9114271753850547</v>
      </c>
      <c r="E44" s="465">
        <v>-3.1685785417105969</v>
      </c>
      <c r="F44" s="465">
        <v>-2.0832379993706072</v>
      </c>
      <c r="G44" s="465">
        <v>-1.1580238278568962</v>
      </c>
      <c r="H44" s="465">
        <v>-1.9316329131416403</v>
      </c>
      <c r="I44" s="465">
        <v>-1.9837126177345701</v>
      </c>
      <c r="J44" s="465">
        <v>-2.4596266646887766</v>
      </c>
      <c r="K44" s="465">
        <v>-3.4280533736801311</v>
      </c>
      <c r="L44" s="465">
        <v>-3.2796394208275759</v>
      </c>
      <c r="M44" s="465">
        <v>-2.8935258003975988</v>
      </c>
      <c r="N44" s="465">
        <v>-2.580753803314948</v>
      </c>
      <c r="O44" s="465">
        <v>-2.4838488913941972</v>
      </c>
      <c r="P44" s="465">
        <v>-2.4625791574472755</v>
      </c>
      <c r="Q44" s="465">
        <v>-2.4752225846859943</v>
      </c>
      <c r="R44" s="465">
        <v>-2.4964007640515593</v>
      </c>
    </row>
    <row r="45" spans="2:18" ht="13.5" customHeight="1">
      <c r="B45" s="464" t="s">
        <v>243</v>
      </c>
      <c r="C45" s="464" t="s">
        <v>243</v>
      </c>
      <c r="D45" s="465">
        <v>-2.7404551309706262</v>
      </c>
      <c r="E45" s="465">
        <v>-2.5193821130266265</v>
      </c>
      <c r="F45" s="465">
        <v>-2.6121425582920024</v>
      </c>
      <c r="G45" s="465">
        <v>-3.5508575033608256</v>
      </c>
      <c r="H45" s="465">
        <v>-3.022475440635398</v>
      </c>
      <c r="I45" s="465">
        <v>-4.8222824921361021</v>
      </c>
      <c r="J45" s="465">
        <v>-7.4694793787751612</v>
      </c>
      <c r="K45" s="465">
        <v>-7.4936119398984715</v>
      </c>
      <c r="L45" s="465">
        <v>-5.7779281950560808</v>
      </c>
      <c r="M45" s="465">
        <v>-4.0948860908923024</v>
      </c>
      <c r="N45" s="465">
        <v>-3.3240008360671922</v>
      </c>
      <c r="O45" s="465">
        <v>-3.2384799082137143</v>
      </c>
      <c r="P45" s="465">
        <v>-1.997718506669264</v>
      </c>
      <c r="Q45" s="465">
        <v>-2.8109328211025151</v>
      </c>
      <c r="R45" s="465">
        <v>0.53852237876433096</v>
      </c>
    </row>
    <row r="46" spans="2:18" ht="13.5" customHeight="1">
      <c r="B46" s="464" t="s">
        <v>1067</v>
      </c>
      <c r="C46" s="464" t="s">
        <v>1067</v>
      </c>
      <c r="D46" s="465">
        <v>1.8981197248748132</v>
      </c>
      <c r="E46" s="465">
        <v>-0.27726836456310017</v>
      </c>
      <c r="F46" s="465">
        <v>0.70430541353136444</v>
      </c>
      <c r="G46" s="465">
        <v>1.1484786144131931</v>
      </c>
      <c r="H46" s="465">
        <v>1.9627858490457366</v>
      </c>
      <c r="I46" s="465">
        <v>-0.32417343300815304</v>
      </c>
      <c r="J46" s="465">
        <v>-3.2545724410814665</v>
      </c>
      <c r="K46" s="465">
        <v>-4.5525133029725957</v>
      </c>
      <c r="L46" s="465">
        <v>-3.9401577329669082</v>
      </c>
      <c r="M46" s="465">
        <v>-2.9299820276306119</v>
      </c>
      <c r="N46" s="465">
        <v>-2.8743544539156467</v>
      </c>
      <c r="O46" s="465">
        <v>-2.7893296637454887</v>
      </c>
      <c r="P46" s="465">
        <v>-2.8453001922345367</v>
      </c>
      <c r="Q46" s="465">
        <v>-2.876028360075217</v>
      </c>
      <c r="R46" s="465">
        <v>-2.9123328522085297</v>
      </c>
    </row>
    <row r="47" spans="2:18" ht="13.5" customHeight="1">
      <c r="B47" s="464" t="s">
        <v>128</v>
      </c>
      <c r="C47" s="464" t="s">
        <v>128</v>
      </c>
      <c r="D47" s="465">
        <v>-5.0166889960786394</v>
      </c>
      <c r="E47" s="465">
        <v>-4.9832236829024028</v>
      </c>
      <c r="F47" s="465">
        <v>-3.163970781591563</v>
      </c>
      <c r="G47" s="465">
        <v>-1.9640065867094252</v>
      </c>
      <c r="H47" s="465">
        <v>-1.0210523084695162</v>
      </c>
      <c r="I47" s="465">
        <v>-0.39674069520902483</v>
      </c>
      <c r="J47" s="465">
        <v>-2.8611655103453781</v>
      </c>
      <c r="K47" s="465">
        <v>-3.4333307801312998</v>
      </c>
      <c r="L47" s="465">
        <v>-2.4762113688492327</v>
      </c>
      <c r="M47" s="465">
        <v>-3.3107658002453064</v>
      </c>
      <c r="N47" s="465">
        <v>-3.0739607325548932</v>
      </c>
      <c r="O47" s="465">
        <v>-2.8901026380546448</v>
      </c>
      <c r="P47" s="465">
        <v>-2.5351802727928443</v>
      </c>
      <c r="Q47" s="465">
        <v>-2.3327227088966862</v>
      </c>
      <c r="R47" s="465">
        <v>-1.9508516738034478</v>
      </c>
    </row>
    <row r="48" spans="2:18" ht="13.5" customHeight="1">
      <c r="B48" s="464" t="s">
        <v>1068</v>
      </c>
      <c r="C48" s="464" t="s">
        <v>1068</v>
      </c>
      <c r="D48" s="465">
        <v>-4.136083973859261</v>
      </c>
      <c r="E48" s="465">
        <v>-8.7497932036193706</v>
      </c>
      <c r="F48" s="465">
        <v>-8.5070211148916535</v>
      </c>
      <c r="G48" s="465">
        <v>-4.9045642291333502</v>
      </c>
      <c r="H48" s="465">
        <v>-7.8471466940785479</v>
      </c>
      <c r="I48" s="465">
        <v>-5.8857310372443647</v>
      </c>
      <c r="J48" s="465">
        <v>-4.9080466910223706</v>
      </c>
      <c r="K48" s="465">
        <v>-1.0422646138803722</v>
      </c>
      <c r="L48" s="465">
        <v>-1.7919155885134967</v>
      </c>
      <c r="M48" s="465">
        <v>-2.1975709089232982</v>
      </c>
      <c r="N48" s="465">
        <v>-0.18216708183167507</v>
      </c>
      <c r="O48" s="465">
        <v>-3.3050330747339755E-2</v>
      </c>
      <c r="P48" s="465">
        <v>-0.78449007746991717</v>
      </c>
      <c r="Q48" s="465">
        <v>-1.8304169607209504</v>
      </c>
      <c r="R48" s="465">
        <v>-1.9690355337487273</v>
      </c>
    </row>
    <row r="49" spans="2:18" ht="13.5" customHeight="1">
      <c r="B49" s="464" t="s">
        <v>1069</v>
      </c>
      <c r="C49" s="464" t="s">
        <v>1069</v>
      </c>
      <c r="D49" s="465">
        <v>-5.4329766398646866</v>
      </c>
      <c r="E49" s="465">
        <v>-8.8775619258890206</v>
      </c>
      <c r="F49" s="465">
        <v>-5.6908633268552364</v>
      </c>
      <c r="G49" s="465">
        <v>-7.4988127019907704</v>
      </c>
      <c r="H49" s="465">
        <v>-8.3086621665280056</v>
      </c>
      <c r="I49" s="465">
        <v>-9.4071888443637359</v>
      </c>
      <c r="J49" s="465">
        <v>-13.782747219712613</v>
      </c>
      <c r="K49" s="465">
        <v>-8.1161194231592813</v>
      </c>
      <c r="L49" s="465">
        <v>-7.8615536019900416</v>
      </c>
      <c r="M49" s="465">
        <v>-6.2778590276597477</v>
      </c>
      <c r="N49" s="465">
        <v>-6.747683337487981</v>
      </c>
      <c r="O49" s="465">
        <v>-5.5148141520366023</v>
      </c>
      <c r="P49" s="465">
        <v>-5.9004722289068754</v>
      </c>
      <c r="Q49" s="465">
        <v>-3.6673071357721998</v>
      </c>
      <c r="R49" s="465">
        <v>-2.8811541611938565</v>
      </c>
    </row>
    <row r="50" spans="2:18" ht="13.5" customHeight="1">
      <c r="B50" s="466" t="s">
        <v>1070</v>
      </c>
      <c r="C50" s="466" t="s">
        <v>1070</v>
      </c>
      <c r="D50" s="467">
        <v>-1.1112810922157688</v>
      </c>
      <c r="E50" s="467">
        <v>-1.8044846218505823</v>
      </c>
      <c r="F50" s="467">
        <v>-6.6190052845143361</v>
      </c>
      <c r="G50" s="467">
        <v>-10.634616302101616</v>
      </c>
      <c r="H50" s="467">
        <v>-5.4284869657877719</v>
      </c>
      <c r="I50" s="467">
        <v>-0.88112762982426962</v>
      </c>
      <c r="J50" s="467">
        <v>0.75097650795823845</v>
      </c>
      <c r="K50" s="467">
        <v>-2.1581818039220346</v>
      </c>
      <c r="L50" s="467">
        <v>-2.1132665109293161</v>
      </c>
      <c r="M50" s="467">
        <v>-2.9640047995696728</v>
      </c>
      <c r="N50" s="467">
        <v>-2.2335701403157029</v>
      </c>
      <c r="O50" s="467">
        <v>-2.2167424136128515</v>
      </c>
      <c r="P50" s="467">
        <v>-2.210337966284361</v>
      </c>
      <c r="Q50" s="467">
        <v>-2.1909587334575003</v>
      </c>
      <c r="R50" s="467">
        <v>-2.1836702107679269</v>
      </c>
    </row>
    <row r="51" spans="2:18" ht="6" customHeight="1">
      <c r="B51" s="464"/>
      <c r="C51" s="464"/>
      <c r="D51" s="465"/>
      <c r="E51" s="465"/>
      <c r="F51" s="465"/>
      <c r="G51" s="465"/>
      <c r="H51" s="465"/>
      <c r="I51" s="465"/>
      <c r="J51" s="465"/>
      <c r="K51" s="465"/>
      <c r="L51" s="465"/>
      <c r="M51" s="465"/>
      <c r="N51" s="465"/>
      <c r="O51" s="465"/>
      <c r="P51" s="465"/>
      <c r="Q51" s="465"/>
      <c r="R51" s="465"/>
    </row>
    <row r="52" spans="2:18" ht="11.25" customHeight="1">
      <c r="B52" s="613" t="s">
        <v>927</v>
      </c>
      <c r="C52" s="613"/>
      <c r="D52" s="613"/>
      <c r="E52" s="613"/>
      <c r="F52" s="613"/>
      <c r="G52" s="613"/>
      <c r="H52" s="613"/>
      <c r="I52" s="613"/>
      <c r="J52" s="613"/>
      <c r="K52" s="613"/>
      <c r="L52" s="613"/>
      <c r="M52" s="613"/>
      <c r="N52" s="613"/>
      <c r="O52" s="613"/>
      <c r="P52" s="613"/>
      <c r="Q52" s="468"/>
      <c r="R52" s="468"/>
    </row>
    <row r="53" spans="2:18">
      <c r="B53" s="613" t="s">
        <v>1071</v>
      </c>
      <c r="C53" s="613"/>
      <c r="D53" s="613"/>
      <c r="E53" s="613"/>
      <c r="F53" s="613"/>
      <c r="G53" s="613"/>
      <c r="H53" s="613"/>
      <c r="I53" s="613"/>
      <c r="J53" s="613"/>
      <c r="K53" s="613"/>
      <c r="L53" s="613"/>
      <c r="M53" s="613"/>
      <c r="N53" s="613"/>
      <c r="O53" s="613"/>
      <c r="P53" s="613"/>
      <c r="Q53" s="468"/>
      <c r="R53" s="468"/>
    </row>
    <row r="54" spans="2:18" ht="19.5" customHeight="1">
      <c r="B54" s="613"/>
      <c r="C54" s="613"/>
      <c r="D54" s="613"/>
      <c r="E54" s="613"/>
      <c r="F54" s="613"/>
      <c r="G54" s="613"/>
      <c r="H54" s="613"/>
      <c r="I54" s="613"/>
      <c r="J54" s="613"/>
      <c r="K54" s="613"/>
      <c r="L54" s="613"/>
      <c r="M54" s="613"/>
      <c r="N54" s="613"/>
      <c r="O54" s="613"/>
      <c r="P54" s="613"/>
      <c r="Q54" s="508"/>
      <c r="R54" s="469"/>
    </row>
    <row r="55" spans="2:18" ht="23.25" customHeight="1">
      <c r="B55" s="621"/>
      <c r="C55" s="613"/>
      <c r="D55" s="613"/>
      <c r="E55" s="613"/>
      <c r="F55" s="613"/>
      <c r="G55" s="613"/>
      <c r="H55" s="613"/>
      <c r="I55" s="613"/>
      <c r="J55" s="613"/>
      <c r="K55" s="613"/>
      <c r="L55" s="613"/>
      <c r="M55" s="613"/>
      <c r="N55" s="613"/>
      <c r="O55" s="613"/>
      <c r="P55" s="613"/>
      <c r="Q55" s="468"/>
      <c r="R55" s="468"/>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sheetData>
  <mergeCells count="6">
    <mergeCell ref="B55:P55"/>
    <mergeCell ref="B2:R2"/>
    <mergeCell ref="B3:R3"/>
    <mergeCell ref="B52:P52"/>
    <mergeCell ref="B53:P53"/>
    <mergeCell ref="B54:P54"/>
  </mergeCells>
  <conditionalFormatting sqref="B12:R20 B21:S21 B22:R50">
    <cfRule type="expression" dxfId="21" priority="2">
      <formula>MOD(ROW(),2)=0</formula>
    </cfRule>
  </conditionalFormatting>
  <conditionalFormatting sqref="D11:R11">
    <cfRule type="expression" dxfId="20" priority="1">
      <formula>MOD(ROW(),2)=0</formula>
    </cfRule>
  </conditionalFormatting>
  <pageMargins left="0.7" right="0.7" top="0.75" bottom="0.75" header="0.3" footer="0.3"/>
  <pageSetup scale="2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FBF1-CC6F-450D-BE08-20080E39C3C7}">
  <dimension ref="A1:BK55"/>
  <sheetViews>
    <sheetView topLeftCell="AK1" zoomScale="70" zoomScaleNormal="70" workbookViewId="0">
      <selection activeCell="AM4" sqref="AM4"/>
    </sheetView>
  </sheetViews>
  <sheetFormatPr defaultRowHeight="12.75"/>
  <cols>
    <col min="1" max="1" width="25.7109375" bestFit="1" customWidth="1"/>
    <col min="13" max="37" width="9.140625" style="158"/>
    <col min="38" max="38" width="19.42578125" customWidth="1"/>
    <col min="39" max="39" width="32.42578125" customWidth="1"/>
    <col min="54" max="54" width="13" bestFit="1" customWidth="1"/>
    <col min="61" max="61" width="14" bestFit="1" customWidth="1"/>
  </cols>
  <sheetData>
    <row r="1" spans="1:63" ht="15">
      <c r="B1">
        <v>2019</v>
      </c>
      <c r="C1">
        <v>20</v>
      </c>
      <c r="D1">
        <v>21</v>
      </c>
      <c r="E1">
        <v>22</v>
      </c>
      <c r="F1">
        <v>23</v>
      </c>
      <c r="G1">
        <v>24</v>
      </c>
      <c r="AL1" s="159"/>
      <c r="AM1" s="159" t="s">
        <v>155</v>
      </c>
      <c r="AN1" s="159" t="s">
        <v>156</v>
      </c>
      <c r="AO1" s="159">
        <v>2007</v>
      </c>
      <c r="AP1" s="159">
        <v>2008</v>
      </c>
      <c r="AQ1" s="159">
        <v>2009</v>
      </c>
      <c r="AR1" s="159">
        <v>2010</v>
      </c>
      <c r="AS1" s="159">
        <v>2011</v>
      </c>
      <c r="AT1" s="159">
        <v>2012</v>
      </c>
      <c r="AU1" s="159">
        <v>2013</v>
      </c>
      <c r="AV1" s="159">
        <v>2014</v>
      </c>
      <c r="AW1" s="159">
        <v>2015</v>
      </c>
      <c r="AX1" s="159">
        <v>2016</v>
      </c>
      <c r="AY1" s="159">
        <v>2017</v>
      </c>
      <c r="AZ1" s="159">
        <v>2018</v>
      </c>
      <c r="BA1" s="159">
        <v>2019</v>
      </c>
      <c r="BB1" s="159">
        <v>2020</v>
      </c>
      <c r="BC1" s="159">
        <v>2021</v>
      </c>
      <c r="BD1" s="159">
        <v>2022</v>
      </c>
      <c r="BE1" s="159">
        <v>2023</v>
      </c>
      <c r="BF1" s="159">
        <v>2024</v>
      </c>
      <c r="BG1" s="159">
        <v>2025</v>
      </c>
      <c r="BH1" s="159">
        <v>2026</v>
      </c>
      <c r="BI1" s="159">
        <v>2027</v>
      </c>
      <c r="BJ1" s="159"/>
      <c r="BK1" s="159"/>
    </row>
    <row r="2" spans="1:63" ht="15">
      <c r="A2" t="s">
        <v>157</v>
      </c>
      <c r="B2" s="160">
        <v>2.8099227534706643</v>
      </c>
      <c r="C2" s="160">
        <v>-2.8049867203720797</v>
      </c>
      <c r="D2" s="160">
        <v>6.2745933922529726</v>
      </c>
      <c r="E2" s="160">
        <v>3.4158962441226466</v>
      </c>
      <c r="F2" s="160">
        <v>2.8307923101191421</v>
      </c>
      <c r="G2" s="160">
        <v>3.022538583773787</v>
      </c>
      <c r="O2" s="161">
        <v>2007</v>
      </c>
      <c r="P2" s="161">
        <v>2008</v>
      </c>
      <c r="Q2" s="161">
        <v>2009</v>
      </c>
      <c r="R2" s="161">
        <v>2010</v>
      </c>
      <c r="S2" s="161">
        <v>2011</v>
      </c>
      <c r="T2" s="161">
        <v>2012</v>
      </c>
      <c r="U2" s="161">
        <v>2013</v>
      </c>
      <c r="V2" s="161">
        <v>2014</v>
      </c>
      <c r="W2" s="161">
        <v>2015</v>
      </c>
      <c r="X2" s="161">
        <v>2016</v>
      </c>
      <c r="Y2" s="161">
        <v>2017</v>
      </c>
      <c r="Z2" s="161">
        <v>2018</v>
      </c>
      <c r="AA2" s="161">
        <v>2019</v>
      </c>
      <c r="AB2" s="161">
        <v>2020</v>
      </c>
      <c r="AC2" s="161">
        <v>2021</v>
      </c>
      <c r="AD2" s="161">
        <v>2022</v>
      </c>
      <c r="AE2" s="161">
        <v>2023</v>
      </c>
      <c r="AF2" s="161">
        <v>2024</v>
      </c>
      <c r="AG2" s="161">
        <v>2025</v>
      </c>
      <c r="AH2" s="161">
        <v>2026</v>
      </c>
      <c r="AI2" s="161">
        <v>2027</v>
      </c>
      <c r="AJ2" s="161">
        <v>2028</v>
      </c>
      <c r="AL2" s="159"/>
      <c r="AM2" s="159" t="s">
        <v>158</v>
      </c>
      <c r="AN2" s="159" t="s">
        <v>83</v>
      </c>
      <c r="AO2">
        <v>61.034049686658129</v>
      </c>
      <c r="AP2">
        <v>63.992578254537882</v>
      </c>
      <c r="AQ2">
        <v>74.397868904261273</v>
      </c>
      <c r="AR2">
        <v>76.622122994783879</v>
      </c>
      <c r="AS2">
        <v>77.642461343509936</v>
      </c>
      <c r="AT2">
        <v>79.423028657785508</v>
      </c>
      <c r="AU2">
        <v>78.174620921085236</v>
      </c>
      <c r="AV2">
        <v>78.532348826170733</v>
      </c>
      <c r="AW2">
        <v>79.909919984120094</v>
      </c>
      <c r="AX2">
        <v>83.81833067489184</v>
      </c>
      <c r="AY2">
        <v>82.680870784376722</v>
      </c>
      <c r="AZ2">
        <v>82.83114433938205</v>
      </c>
      <c r="BA2">
        <v>84.310771762407796</v>
      </c>
      <c r="BB2">
        <v>99.741742870525258</v>
      </c>
      <c r="BC2">
        <v>95.514492632161293</v>
      </c>
      <c r="BD2">
        <v>92.129029466987191</v>
      </c>
      <c r="BE2">
        <v>93.262750670302921</v>
      </c>
      <c r="BF2">
        <v>94.608527701653088</v>
      </c>
      <c r="BG2">
        <v>96.125145521087035</v>
      </c>
      <c r="BH2">
        <v>97.316958903981089</v>
      </c>
      <c r="BI2">
        <v>98.417855046343561</v>
      </c>
    </row>
    <row r="3" spans="1:63">
      <c r="A3" t="s">
        <v>84</v>
      </c>
      <c r="B3" s="160">
        <v>1.742678817409677</v>
      </c>
      <c r="C3" s="160">
        <v>-4.2122216759589959</v>
      </c>
      <c r="D3" s="160">
        <v>5.4364123819534527</v>
      </c>
      <c r="E3" s="160">
        <v>2.661216586573703</v>
      </c>
      <c r="F3" s="160">
        <v>1.2599074928605436</v>
      </c>
      <c r="G3" s="160">
        <v>1.3517477845161541</v>
      </c>
      <c r="N3" s="161"/>
      <c r="O3" s="158">
        <v>2007</v>
      </c>
      <c r="P3" s="158" t="s">
        <v>159</v>
      </c>
      <c r="Q3" s="158" t="s">
        <v>160</v>
      </c>
      <c r="R3" s="158" t="s">
        <v>161</v>
      </c>
      <c r="S3" s="158" t="s">
        <v>162</v>
      </c>
      <c r="T3" s="158" t="s">
        <v>163</v>
      </c>
      <c r="U3" s="158" t="s">
        <v>164</v>
      </c>
      <c r="V3" s="158" t="s">
        <v>165</v>
      </c>
      <c r="W3" s="158" t="s">
        <v>166</v>
      </c>
      <c r="X3" s="158" t="s">
        <v>167</v>
      </c>
      <c r="Y3" s="158" t="s">
        <v>168</v>
      </c>
      <c r="Z3" s="158" t="s">
        <v>169</v>
      </c>
      <c r="AA3" s="158" t="s">
        <v>170</v>
      </c>
      <c r="AB3" s="158" t="s">
        <v>171</v>
      </c>
      <c r="AC3" s="158" t="s">
        <v>172</v>
      </c>
      <c r="AD3" s="158" t="s">
        <v>173</v>
      </c>
      <c r="AE3" s="158" t="s">
        <v>174</v>
      </c>
      <c r="AF3" s="158" t="s">
        <v>175</v>
      </c>
      <c r="AG3" s="158" t="s">
        <v>176</v>
      </c>
      <c r="AH3" s="158" t="s">
        <v>177</v>
      </c>
      <c r="AI3" s="158" t="s">
        <v>178</v>
      </c>
      <c r="AJ3" s="158" t="s">
        <v>179</v>
      </c>
    </row>
    <row r="4" spans="1:63">
      <c r="A4" t="s">
        <v>180</v>
      </c>
      <c r="B4" s="160">
        <v>3.4842968144524931</v>
      </c>
      <c r="C4" s="160">
        <v>-2.0465926967558881</v>
      </c>
      <c r="D4" s="160">
        <v>7.1313617994172702</v>
      </c>
      <c r="E4" s="160">
        <v>3.8612155350244217</v>
      </c>
      <c r="F4" s="160">
        <v>3.854243861878528</v>
      </c>
      <c r="G4" s="160">
        <v>4.0385302468589988</v>
      </c>
      <c r="N4" s="161" t="s">
        <v>181</v>
      </c>
      <c r="O4" s="161">
        <v>8.0905266792044834</v>
      </c>
      <c r="P4" s="161">
        <v>7.85778869611205</v>
      </c>
      <c r="Q4" s="161">
        <v>8.9726955569010745</v>
      </c>
      <c r="R4" s="161">
        <v>8.3045512175927954</v>
      </c>
      <c r="S4" s="161">
        <v>9.0097356249643124</v>
      </c>
      <c r="T4" s="161">
        <v>9.3846695097778419</v>
      </c>
      <c r="U4" s="161">
        <v>8.4610020345514272</v>
      </c>
      <c r="V4" s="161">
        <v>7.6580990936800903</v>
      </c>
      <c r="W4" s="161">
        <v>6.9364903186171665</v>
      </c>
      <c r="X4" s="161">
        <v>6.3987043122109233</v>
      </c>
      <c r="Y4" s="161">
        <v>5.8910212220270264</v>
      </c>
      <c r="Z4" s="161">
        <v>5.4980775809548996</v>
      </c>
      <c r="AA4" s="161">
        <v>4.7954101443092796</v>
      </c>
      <c r="AB4" s="161">
        <v>4.9566381616875699</v>
      </c>
      <c r="AC4" s="161">
        <v>4.3539102923592958</v>
      </c>
      <c r="AD4" s="161">
        <v>4.2777755240196811</v>
      </c>
      <c r="AE4" s="161">
        <v>4.7500641259695584</v>
      </c>
      <c r="AF4" s="161">
        <v>5.6772915431167439</v>
      </c>
      <c r="AG4" s="161">
        <v>5.7314900183049478</v>
      </c>
      <c r="AH4" s="161">
        <v>5.7059011815138634</v>
      </c>
      <c r="AI4" s="161">
        <v>5.889007353605666</v>
      </c>
      <c r="AJ4" s="161">
        <v>5.9523488814427807</v>
      </c>
    </row>
    <row r="5" spans="1:63">
      <c r="B5" s="162"/>
      <c r="C5" s="162"/>
      <c r="D5" s="162"/>
      <c r="E5" s="162"/>
      <c r="F5" s="162"/>
      <c r="G5" s="162"/>
      <c r="N5" s="161" t="s">
        <v>182</v>
      </c>
      <c r="O5" s="161">
        <v>11.12179152562082</v>
      </c>
      <c r="P5" s="161">
        <v>9.6343696812295683</v>
      </c>
      <c r="Q5" s="161">
        <v>9.9529267831357799</v>
      </c>
      <c r="R5" s="161">
        <v>9.9410765625148265</v>
      </c>
      <c r="S5" s="161">
        <v>9.7839956989043806</v>
      </c>
      <c r="T5" s="161">
        <v>9.391024516853145</v>
      </c>
      <c r="U5" s="161">
        <v>9.4847030879019059</v>
      </c>
      <c r="V5" s="161">
        <v>9.9405703005174608</v>
      </c>
      <c r="W5" s="161">
        <v>8.8530787135737388</v>
      </c>
      <c r="X5" s="161">
        <v>11.190669770161007</v>
      </c>
      <c r="Y5" s="161">
        <v>10.921386811783226</v>
      </c>
      <c r="Z5" s="161">
        <v>11.770095083464023</v>
      </c>
      <c r="AA5" s="161">
        <v>11.99321526679193</v>
      </c>
      <c r="AB5" s="161">
        <v>12.914041915061015</v>
      </c>
      <c r="AC5" s="161">
        <v>10.571895585720927</v>
      </c>
      <c r="AD5" s="161">
        <v>11.8412536096266</v>
      </c>
      <c r="AE5" s="161">
        <v>12.547250541538171</v>
      </c>
      <c r="AF5" s="161">
        <v>12.491726626395177</v>
      </c>
      <c r="AG5" s="161">
        <v>12.652205171172934</v>
      </c>
      <c r="AH5" s="161">
        <v>12.318267434519127</v>
      </c>
      <c r="AI5" s="161">
        <v>12.718976848374972</v>
      </c>
      <c r="AJ5" s="161">
        <v>12.768229680554935</v>
      </c>
      <c r="AO5">
        <v>2007</v>
      </c>
      <c r="AP5" t="s">
        <v>159</v>
      </c>
      <c r="AQ5" t="s">
        <v>160</v>
      </c>
      <c r="AR5" t="s">
        <v>161</v>
      </c>
      <c r="AS5" t="s">
        <v>162</v>
      </c>
      <c r="AT5" t="s">
        <v>163</v>
      </c>
      <c r="AU5" t="s">
        <v>164</v>
      </c>
      <c r="AV5" t="s">
        <v>165</v>
      </c>
      <c r="AW5" t="s">
        <v>166</v>
      </c>
      <c r="AX5" t="s">
        <v>167</v>
      </c>
      <c r="AY5" t="s">
        <v>168</v>
      </c>
      <c r="AZ5" t="s">
        <v>169</v>
      </c>
      <c r="BA5" t="s">
        <v>170</v>
      </c>
      <c r="BB5" t="s">
        <v>171</v>
      </c>
      <c r="BC5" t="s">
        <v>172</v>
      </c>
      <c r="BD5" t="s">
        <v>173</v>
      </c>
      <c r="BE5" t="s">
        <v>174</v>
      </c>
      <c r="BF5" t="s">
        <v>175</v>
      </c>
      <c r="BG5" t="s">
        <v>176</v>
      </c>
      <c r="BH5" t="s">
        <v>177</v>
      </c>
      <c r="BI5" t="s">
        <v>178</v>
      </c>
    </row>
    <row r="6" spans="1:63">
      <c r="N6" s="161" t="s">
        <v>183</v>
      </c>
      <c r="O6" s="161">
        <v>6.5535239512211287</v>
      </c>
      <c r="P6" s="161">
        <v>5.8958870623914317</v>
      </c>
      <c r="Q6" s="161">
        <v>5.6125259469355653</v>
      </c>
      <c r="R6" s="161">
        <v>5.144464625994666</v>
      </c>
      <c r="S6" s="161">
        <v>5.431883523367139</v>
      </c>
      <c r="T6" s="161">
        <v>6.0389262717905616</v>
      </c>
      <c r="U6" s="161">
        <v>5.494514103712751</v>
      </c>
      <c r="V6" s="161">
        <v>5.218255523141198</v>
      </c>
      <c r="W6" s="161">
        <v>6.1266956035361018</v>
      </c>
      <c r="X6" s="161">
        <v>8.1242180103105195</v>
      </c>
      <c r="Y6" s="161">
        <v>7.9062085098725738</v>
      </c>
      <c r="Z6" s="161">
        <v>7.4986928587903012</v>
      </c>
      <c r="AA6" s="161">
        <v>8.5798816568047336</v>
      </c>
      <c r="AB6" s="161">
        <v>10.208736683322122</v>
      </c>
      <c r="AC6" s="161">
        <v>11.266013822060728</v>
      </c>
      <c r="AD6" s="161">
        <v>11.186011412565213</v>
      </c>
      <c r="AE6" s="161">
        <v>11.261960086151358</v>
      </c>
      <c r="AF6" s="161">
        <v>10.56015175472367</v>
      </c>
      <c r="AG6" s="161">
        <v>10.35727023985657</v>
      </c>
      <c r="AH6" s="161">
        <v>10.859017795428578</v>
      </c>
      <c r="AI6" s="161">
        <v>9.8982201123281008</v>
      </c>
      <c r="AJ6" s="161">
        <v>8.9687429191647539</v>
      </c>
      <c r="AN6" t="s">
        <v>85</v>
      </c>
      <c r="AO6" s="163">
        <v>29.706053390784316</v>
      </c>
      <c r="AP6" s="163">
        <v>34.328534371110713</v>
      </c>
      <c r="AQ6" s="163">
        <v>37.818672322625069</v>
      </c>
      <c r="AR6" s="163">
        <v>42.294770074113401</v>
      </c>
      <c r="AS6" s="163">
        <v>47.30237028292823</v>
      </c>
      <c r="AT6" s="163">
        <v>49.142978606928558</v>
      </c>
      <c r="AU6" s="163">
        <v>48.887388695060146</v>
      </c>
      <c r="AV6" s="163">
        <v>49.817551593212485</v>
      </c>
      <c r="AW6" s="163">
        <v>46.955990326539435</v>
      </c>
      <c r="AX6" s="163">
        <v>49.319552351910154</v>
      </c>
      <c r="AY6" s="163">
        <v>50.345197719363235</v>
      </c>
      <c r="AZ6" s="163">
        <v>53.032982343491689</v>
      </c>
      <c r="BA6" s="163">
        <v>54.134416153241958</v>
      </c>
      <c r="BB6" s="163">
        <v>62.70322581453788</v>
      </c>
      <c r="BC6" s="163">
        <v>66.469626292032487</v>
      </c>
      <c r="BD6" s="163">
        <v>64.775229256935035</v>
      </c>
      <c r="BE6" s="163">
        <v>67.978928895985092</v>
      </c>
      <c r="BF6" s="163">
        <v>71.183715255184396</v>
      </c>
      <c r="BG6" s="163">
        <v>74.903377281958754</v>
      </c>
      <c r="BH6" s="163">
        <v>78.511859554447028</v>
      </c>
      <c r="BI6" s="163">
        <v>82.059185951143434</v>
      </c>
      <c r="BJ6" s="163"/>
    </row>
    <row r="7" spans="1:63" ht="15">
      <c r="AN7" s="164" t="s">
        <v>184</v>
      </c>
      <c r="AO7" s="163">
        <v>4.6052831104859653</v>
      </c>
      <c r="AP7" s="163">
        <v>5.1084939279636545</v>
      </c>
      <c r="AQ7" s="163">
        <v>5.2373210122353431</v>
      </c>
      <c r="AR7" s="163">
        <v>6.158071793726613</v>
      </c>
      <c r="AS7" s="163">
        <v>6.9608322447087758</v>
      </c>
      <c r="AT7" s="163">
        <v>7.1020852666528294</v>
      </c>
      <c r="AU7" s="163">
        <v>7.4206135180737913</v>
      </c>
      <c r="AV7" s="163">
        <v>7.6876527673885926</v>
      </c>
      <c r="AW7" s="163">
        <v>7.600481102319697</v>
      </c>
      <c r="AX7" s="163">
        <v>8.0825377212325407</v>
      </c>
      <c r="AY7" s="163">
        <v>9.0565788559837763</v>
      </c>
      <c r="AZ7" s="163">
        <v>9.3714963168325465</v>
      </c>
      <c r="BA7" s="163">
        <v>9.7554930453610353</v>
      </c>
      <c r="BB7" s="163">
        <v>10.375028978296092</v>
      </c>
      <c r="BC7" s="163">
        <v>11.482526071776155</v>
      </c>
      <c r="BD7" s="163">
        <v>12.045151672807322</v>
      </c>
      <c r="BE7" s="163">
        <v>12.949227252266486</v>
      </c>
      <c r="BF7" s="163">
        <v>13.755687546203225</v>
      </c>
      <c r="BG7" s="163">
        <v>14.613845759640895</v>
      </c>
      <c r="BH7" s="163">
        <v>15.488594398644876</v>
      </c>
      <c r="BI7" s="163">
        <v>16.393808666650138</v>
      </c>
      <c r="BJ7" s="163"/>
    </row>
    <row r="8" spans="1:63">
      <c r="AN8" t="s">
        <v>111</v>
      </c>
      <c r="AO8" s="163">
        <v>1.0369832877425835</v>
      </c>
      <c r="AP8" s="163">
        <v>1.2431342141531654</v>
      </c>
      <c r="AQ8" s="163">
        <v>1.7591131479939877</v>
      </c>
      <c r="AR8" s="163">
        <v>2.0469338364641483</v>
      </c>
      <c r="AS8" s="163">
        <v>2.5302404243915344</v>
      </c>
      <c r="AT8" s="163">
        <v>2.9370245313859558</v>
      </c>
      <c r="AU8" s="163">
        <v>3.5646194508039084</v>
      </c>
      <c r="AV8" s="163">
        <v>4.2064591649867404</v>
      </c>
      <c r="AW8" s="163">
        <v>4.6108636696779781</v>
      </c>
      <c r="AX8" s="163">
        <v>5.6921378384305621</v>
      </c>
      <c r="AY8" s="163">
        <v>6.7398730903831332</v>
      </c>
      <c r="AZ8" s="163">
        <v>7.8426693750429708</v>
      </c>
      <c r="BA8" s="163">
        <v>8.6622395442835085</v>
      </c>
      <c r="BB8" s="163">
        <v>10.424225888308342</v>
      </c>
      <c r="BC8" s="163">
        <v>12.757572594246254</v>
      </c>
      <c r="BD8" s="163">
        <v>13.954611319729821</v>
      </c>
      <c r="BE8" s="163">
        <v>15.970484625395885</v>
      </c>
      <c r="BF8" s="163">
        <v>18.199053729390645</v>
      </c>
      <c r="BG8" s="163">
        <v>20.616314390753693</v>
      </c>
      <c r="BH8" s="163">
        <v>23.192827311053993</v>
      </c>
      <c r="BI8" s="163">
        <v>25.9278471490241</v>
      </c>
      <c r="BJ8" s="163"/>
    </row>
    <row r="9" spans="1:63" ht="15">
      <c r="AN9" s="159" t="s">
        <v>185</v>
      </c>
      <c r="AO9" s="163">
        <v>0.29517002506648349</v>
      </c>
      <c r="AP9" s="163">
        <v>0.33545549710397599</v>
      </c>
      <c r="AQ9" s="163">
        <v>0.35781208463671516</v>
      </c>
      <c r="AR9" s="163">
        <v>0.39037027523390577</v>
      </c>
      <c r="AS9" s="163">
        <v>0.47009371423265817</v>
      </c>
      <c r="AT9" s="163">
        <v>0.512297397341127</v>
      </c>
      <c r="AU9" s="163">
        <v>0.58463719260337244</v>
      </c>
      <c r="AV9" s="163">
        <v>0.64562562929972334</v>
      </c>
      <c r="AW9" s="163">
        <v>0.70773658799648298</v>
      </c>
      <c r="AX9" s="163">
        <v>0.7595208071953764</v>
      </c>
      <c r="AY9" s="163">
        <v>0.82988620388322265</v>
      </c>
      <c r="AZ9" s="163">
        <v>0.91005740043000782</v>
      </c>
      <c r="BA9" s="163">
        <v>0.98879276415391371</v>
      </c>
      <c r="BB9" s="163">
        <v>1.1354379862637229</v>
      </c>
      <c r="BC9" s="163">
        <v>1.2150925882852497</v>
      </c>
      <c r="BD9" s="163">
        <v>1.3101769368220706</v>
      </c>
      <c r="BE9" s="163">
        <v>1.3793469900132846</v>
      </c>
      <c r="BF9" s="163">
        <v>1.4577585775123769</v>
      </c>
      <c r="BG9" s="163">
        <v>1.5674585258644567</v>
      </c>
      <c r="BH9" s="163">
        <v>1.6880379110184953</v>
      </c>
      <c r="BI9" s="163">
        <v>1.8228840996406444</v>
      </c>
      <c r="BJ9" s="163"/>
    </row>
    <row r="10" spans="1:63">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row>
    <row r="11" spans="1:63">
      <c r="AN11" s="165"/>
      <c r="AP11" s="165"/>
      <c r="AQ11" s="165"/>
      <c r="AR11" s="165"/>
      <c r="AS11" s="165"/>
      <c r="AT11" s="165"/>
      <c r="BF11" s="165"/>
      <c r="BG11" s="165"/>
      <c r="BH11" s="165"/>
      <c r="BI11" s="165"/>
      <c r="BJ11" s="165"/>
      <c r="BK11" s="165"/>
    </row>
    <row r="12" spans="1:63" s="165" customFormat="1">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row>
    <row r="13" spans="1:63" s="165" customFormat="1">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row>
    <row r="14" spans="1:63" s="165" customFormat="1" ht="15.75">
      <c r="M14" s="166"/>
      <c r="Q14" s="167" t="s">
        <v>10</v>
      </c>
      <c r="R14" s="166"/>
      <c r="S14" s="166"/>
      <c r="T14" s="166"/>
      <c r="U14" s="166"/>
      <c r="V14" s="166"/>
      <c r="W14" s="166"/>
      <c r="X14" s="166"/>
      <c r="Y14" s="166"/>
      <c r="Z14" s="166"/>
      <c r="AA14" s="166"/>
      <c r="AB14" s="166"/>
      <c r="AC14" s="166"/>
      <c r="AD14" s="166"/>
      <c r="AE14" s="166"/>
      <c r="AF14" s="166"/>
      <c r="AG14" s="166"/>
      <c r="AH14" s="166"/>
      <c r="AI14" s="166"/>
      <c r="AJ14" s="166"/>
      <c r="AK14" s="166"/>
      <c r="AV14" s="168" t="s">
        <v>10</v>
      </c>
    </row>
    <row r="15" spans="1:63" s="165" customFormat="1" ht="15.75">
      <c r="B15" s="168" t="s">
        <v>10</v>
      </c>
      <c r="M15" s="166"/>
      <c r="Q15" s="169" t="s">
        <v>186</v>
      </c>
      <c r="R15" s="166"/>
      <c r="S15" s="166"/>
      <c r="T15" s="166"/>
      <c r="U15" s="166"/>
      <c r="V15" s="166"/>
      <c r="W15" s="166"/>
      <c r="X15" s="166"/>
      <c r="Y15" s="166"/>
      <c r="Z15" s="166"/>
      <c r="AA15" s="166"/>
      <c r="AB15" s="166"/>
      <c r="AC15" s="166"/>
      <c r="AD15" s="166"/>
      <c r="AE15" s="166"/>
      <c r="AF15" s="166"/>
      <c r="AG15" s="166"/>
      <c r="AH15" s="166"/>
      <c r="AI15" s="166"/>
      <c r="AJ15" s="166"/>
      <c r="AK15" s="166"/>
      <c r="AV15" s="170" t="s">
        <v>187</v>
      </c>
    </row>
    <row r="16" spans="1:63" s="165" customFormat="1" ht="15">
      <c r="B16" s="170" t="s">
        <v>188</v>
      </c>
      <c r="M16" s="166"/>
      <c r="Q16" s="166"/>
      <c r="R16" s="166"/>
      <c r="S16" s="166"/>
      <c r="T16" s="166"/>
      <c r="U16" s="166"/>
      <c r="V16" s="166"/>
      <c r="W16" s="166"/>
      <c r="X16" s="166"/>
      <c r="Y16" s="166"/>
      <c r="Z16" s="166"/>
      <c r="AA16" s="166"/>
      <c r="AB16" s="166"/>
      <c r="AC16" s="166"/>
      <c r="AD16" s="166"/>
      <c r="AE16" s="166"/>
      <c r="AF16" s="166"/>
      <c r="AG16" s="166"/>
      <c r="AH16" s="166"/>
      <c r="AI16" s="166"/>
      <c r="AJ16" s="166"/>
      <c r="AK16" s="166"/>
    </row>
    <row r="17" spans="13:37" s="165" customFormat="1">
      <c r="M17" s="166"/>
      <c r="Q17" s="166"/>
      <c r="R17" s="166"/>
      <c r="S17" s="166"/>
      <c r="T17" s="166"/>
      <c r="U17" s="166"/>
      <c r="V17" s="166"/>
      <c r="W17" s="166"/>
      <c r="X17" s="166"/>
      <c r="Y17" s="166"/>
      <c r="Z17" s="166"/>
      <c r="AA17" s="166"/>
      <c r="AB17" s="166"/>
      <c r="AC17" s="166"/>
      <c r="AD17" s="166"/>
      <c r="AE17" s="166"/>
      <c r="AF17" s="166"/>
      <c r="AG17" s="166"/>
      <c r="AH17" s="166"/>
      <c r="AI17" s="166"/>
      <c r="AJ17" s="166"/>
      <c r="AK17" s="166"/>
    </row>
    <row r="18" spans="13:37" s="165" customFormat="1">
      <c r="M18" s="166"/>
      <c r="Q18" s="166"/>
      <c r="R18" s="166"/>
      <c r="S18" s="166"/>
      <c r="T18" s="166"/>
      <c r="U18" s="166"/>
      <c r="V18" s="166"/>
      <c r="W18" s="166"/>
      <c r="X18" s="166"/>
      <c r="Y18" s="166"/>
      <c r="Z18" s="166"/>
      <c r="AA18" s="166"/>
      <c r="AB18" s="166"/>
      <c r="AC18" s="166"/>
      <c r="AD18" s="166"/>
      <c r="AE18" s="166"/>
      <c r="AF18" s="166"/>
      <c r="AG18" s="166"/>
      <c r="AH18" s="166"/>
      <c r="AI18" s="166"/>
      <c r="AJ18" s="166"/>
      <c r="AK18" s="166"/>
    </row>
    <row r="19" spans="13:37" s="165" customFormat="1">
      <c r="M19" s="166"/>
      <c r="Q19" s="166"/>
      <c r="R19" s="166"/>
      <c r="S19" s="166"/>
      <c r="T19" s="166"/>
      <c r="U19" s="166"/>
      <c r="V19" s="166"/>
      <c r="W19" s="166"/>
      <c r="X19" s="166"/>
      <c r="Y19" s="166"/>
      <c r="Z19" s="166"/>
      <c r="AA19" s="166"/>
      <c r="AB19" s="166"/>
      <c r="AC19" s="166"/>
      <c r="AD19" s="166"/>
      <c r="AE19" s="166"/>
      <c r="AF19" s="166"/>
      <c r="AG19" s="166"/>
      <c r="AH19" s="166"/>
      <c r="AI19" s="166"/>
      <c r="AJ19" s="166"/>
      <c r="AK19" s="166"/>
    </row>
    <row r="20" spans="13:37" s="165" customFormat="1">
      <c r="M20" s="166"/>
      <c r="Q20" s="166"/>
      <c r="R20" s="166"/>
      <c r="S20" s="166"/>
      <c r="T20" s="166"/>
      <c r="U20" s="166"/>
      <c r="V20" s="166"/>
      <c r="W20" s="166"/>
      <c r="X20" s="166"/>
      <c r="Y20" s="166"/>
      <c r="Z20" s="166"/>
      <c r="AA20" s="166"/>
      <c r="AB20" s="166"/>
      <c r="AC20" s="166"/>
      <c r="AD20" s="166"/>
      <c r="AE20" s="166"/>
      <c r="AF20" s="166"/>
      <c r="AG20" s="166"/>
      <c r="AH20" s="166"/>
      <c r="AI20" s="166"/>
      <c r="AJ20" s="166"/>
      <c r="AK20" s="166"/>
    </row>
    <row r="21" spans="13:37" s="165" customFormat="1">
      <c r="M21" s="166"/>
      <c r="Q21" s="166"/>
      <c r="R21" s="166"/>
      <c r="S21" s="166"/>
      <c r="T21" s="166"/>
      <c r="U21" s="166"/>
      <c r="V21" s="166"/>
      <c r="W21" s="166"/>
      <c r="X21" s="166"/>
      <c r="Y21" s="166"/>
      <c r="Z21" s="166"/>
      <c r="AA21" s="166"/>
      <c r="AB21" s="166"/>
      <c r="AC21" s="166"/>
      <c r="AD21" s="166"/>
      <c r="AE21" s="166"/>
      <c r="AF21" s="166"/>
      <c r="AG21" s="166"/>
      <c r="AH21" s="166"/>
      <c r="AI21" s="166"/>
      <c r="AJ21" s="166"/>
      <c r="AK21" s="166"/>
    </row>
    <row r="22" spans="13:37" s="165" customFormat="1">
      <c r="M22" s="166"/>
      <c r="Q22" s="166"/>
      <c r="R22" s="166"/>
      <c r="S22" s="166"/>
      <c r="T22" s="166"/>
      <c r="U22" s="166"/>
      <c r="V22" s="166"/>
      <c r="W22" s="166"/>
      <c r="X22" s="166"/>
      <c r="Y22" s="166"/>
      <c r="Z22" s="166"/>
      <c r="AA22" s="166"/>
      <c r="AB22" s="166"/>
      <c r="AC22" s="166"/>
      <c r="AD22" s="166"/>
      <c r="AE22" s="166"/>
      <c r="AF22" s="166"/>
      <c r="AG22" s="166"/>
      <c r="AH22" s="166"/>
      <c r="AI22" s="166"/>
      <c r="AJ22" s="166"/>
      <c r="AK22" s="166"/>
    </row>
    <row r="23" spans="13:37" s="165" customFormat="1">
      <c r="M23" s="166"/>
      <c r="Q23" s="166"/>
      <c r="R23" s="166"/>
      <c r="S23" s="166"/>
      <c r="T23" s="166"/>
      <c r="U23" s="166"/>
      <c r="V23" s="166"/>
      <c r="W23" s="166"/>
      <c r="X23" s="166"/>
      <c r="Y23" s="166"/>
      <c r="Z23" s="166"/>
      <c r="AA23" s="166"/>
      <c r="AB23" s="166"/>
      <c r="AC23" s="166"/>
      <c r="AD23" s="166"/>
      <c r="AE23" s="166"/>
      <c r="AF23" s="166"/>
      <c r="AG23" s="166"/>
      <c r="AH23" s="166"/>
      <c r="AI23" s="166"/>
      <c r="AJ23" s="166"/>
      <c r="AK23" s="166"/>
    </row>
    <row r="24" spans="13:37" s="165" customFormat="1">
      <c r="M24" s="166"/>
      <c r="Q24" s="166"/>
      <c r="R24" s="166"/>
      <c r="S24" s="166"/>
      <c r="T24" s="166"/>
      <c r="U24" s="166"/>
      <c r="V24" s="166"/>
      <c r="W24" s="166"/>
      <c r="X24" s="166"/>
      <c r="Y24" s="166"/>
      <c r="Z24" s="166"/>
      <c r="AA24" s="166"/>
      <c r="AB24" s="166"/>
      <c r="AC24" s="166"/>
      <c r="AD24" s="166"/>
      <c r="AE24" s="166"/>
      <c r="AF24" s="166"/>
      <c r="AG24" s="166"/>
      <c r="AH24" s="166"/>
      <c r="AI24" s="166"/>
      <c r="AJ24" s="166"/>
      <c r="AK24" s="166"/>
    </row>
    <row r="25" spans="13:37" s="165" customFormat="1">
      <c r="M25" s="166"/>
      <c r="Q25" s="166"/>
      <c r="R25" s="166"/>
      <c r="S25" s="166"/>
      <c r="T25" s="166"/>
      <c r="U25" s="166"/>
      <c r="V25" s="166"/>
      <c r="W25" s="166"/>
      <c r="X25" s="166"/>
      <c r="Y25" s="166"/>
      <c r="Z25" s="166"/>
      <c r="AA25" s="166"/>
      <c r="AB25" s="166"/>
      <c r="AC25" s="166"/>
      <c r="AD25" s="166"/>
      <c r="AE25" s="166"/>
      <c r="AF25" s="166"/>
      <c r="AG25" s="166"/>
      <c r="AH25" s="166"/>
      <c r="AI25" s="166"/>
      <c r="AJ25" s="166"/>
      <c r="AK25" s="166"/>
    </row>
    <row r="26" spans="13:37" s="165" customFormat="1">
      <c r="M26" s="166"/>
      <c r="Q26" s="166"/>
      <c r="R26" s="166"/>
      <c r="S26" s="166"/>
      <c r="T26" s="166"/>
      <c r="U26" s="166"/>
      <c r="V26" s="166"/>
      <c r="W26" s="166"/>
      <c r="X26" s="166"/>
      <c r="Y26" s="166"/>
      <c r="Z26" s="166"/>
      <c r="AA26" s="166"/>
      <c r="AB26" s="166"/>
      <c r="AC26" s="166"/>
      <c r="AD26" s="166"/>
      <c r="AE26" s="166"/>
      <c r="AF26" s="166"/>
      <c r="AG26" s="166"/>
      <c r="AH26" s="166"/>
      <c r="AI26" s="166"/>
      <c r="AJ26" s="166"/>
      <c r="AK26" s="166"/>
    </row>
    <row r="27" spans="13:37" s="165" customFormat="1">
      <c r="M27" s="166"/>
      <c r="Q27" s="166"/>
      <c r="R27" s="166"/>
      <c r="S27" s="166"/>
      <c r="T27" s="166"/>
      <c r="U27" s="166"/>
      <c r="V27" s="166"/>
      <c r="W27" s="166"/>
      <c r="X27" s="166"/>
      <c r="Y27" s="166"/>
      <c r="Z27" s="166"/>
      <c r="AA27" s="166"/>
      <c r="AB27" s="166"/>
      <c r="AC27" s="166"/>
      <c r="AD27" s="166"/>
      <c r="AE27" s="166"/>
      <c r="AF27" s="166"/>
      <c r="AG27" s="166"/>
      <c r="AH27" s="166"/>
      <c r="AI27" s="166"/>
      <c r="AJ27" s="166"/>
      <c r="AK27" s="166"/>
    </row>
    <row r="28" spans="13:37" s="165" customFormat="1">
      <c r="M28" s="166"/>
      <c r="Q28" s="166"/>
      <c r="R28" s="166"/>
      <c r="S28" s="166"/>
      <c r="T28" s="166"/>
      <c r="U28" s="166"/>
      <c r="V28" s="166"/>
      <c r="W28" s="166"/>
      <c r="X28" s="166"/>
      <c r="Y28" s="166"/>
      <c r="Z28" s="166"/>
      <c r="AA28" s="166"/>
      <c r="AB28" s="166"/>
      <c r="AC28" s="166"/>
      <c r="AD28" s="166"/>
      <c r="AE28" s="166"/>
      <c r="AF28" s="166"/>
      <c r="AG28" s="166"/>
      <c r="AH28" s="166"/>
      <c r="AI28" s="166"/>
      <c r="AJ28" s="166"/>
      <c r="AK28" s="166"/>
    </row>
    <row r="29" spans="13:37" s="165" customFormat="1">
      <c r="M29" s="166"/>
      <c r="Q29" s="166"/>
      <c r="R29" s="166"/>
      <c r="S29" s="166"/>
      <c r="T29" s="166"/>
      <c r="U29" s="166"/>
      <c r="V29" s="166"/>
      <c r="W29" s="166"/>
      <c r="X29" s="166"/>
      <c r="Y29" s="166"/>
      <c r="Z29" s="166"/>
      <c r="AA29" s="166"/>
      <c r="AB29" s="166"/>
      <c r="AC29" s="166"/>
      <c r="AD29" s="166"/>
      <c r="AE29" s="166"/>
      <c r="AF29" s="166"/>
      <c r="AG29" s="166"/>
      <c r="AH29" s="166"/>
      <c r="AI29" s="166"/>
      <c r="AJ29" s="166"/>
      <c r="AK29" s="166"/>
    </row>
    <row r="30" spans="13:37" s="165" customFormat="1">
      <c r="M30" s="166"/>
      <c r="Q30" s="166"/>
      <c r="R30" s="166"/>
      <c r="S30" s="166"/>
      <c r="T30" s="166"/>
      <c r="U30" s="166"/>
      <c r="V30" s="166"/>
      <c r="W30" s="166"/>
      <c r="X30" s="166"/>
      <c r="Y30" s="166"/>
      <c r="Z30" s="166"/>
      <c r="AA30" s="166"/>
      <c r="AB30" s="166"/>
      <c r="AC30" s="166"/>
      <c r="AD30" s="166"/>
      <c r="AE30" s="166"/>
      <c r="AF30" s="166"/>
      <c r="AG30" s="166"/>
      <c r="AH30" s="166"/>
      <c r="AI30" s="166"/>
      <c r="AJ30" s="166"/>
      <c r="AK30" s="166"/>
    </row>
    <row r="31" spans="13:37" s="165" customFormat="1">
      <c r="M31" s="166"/>
      <c r="Q31" s="166"/>
      <c r="R31" s="166"/>
      <c r="S31" s="166"/>
      <c r="T31" s="166"/>
      <c r="U31" s="166"/>
      <c r="V31" s="166"/>
      <c r="W31" s="166"/>
      <c r="X31" s="166"/>
      <c r="Y31" s="166"/>
      <c r="Z31" s="166"/>
      <c r="AA31" s="166"/>
      <c r="AB31" s="166"/>
      <c r="AC31" s="166"/>
      <c r="AD31" s="166"/>
      <c r="AE31" s="166"/>
      <c r="AF31" s="166"/>
      <c r="AG31" s="166"/>
      <c r="AH31" s="166"/>
      <c r="AI31" s="166"/>
      <c r="AJ31" s="166"/>
      <c r="AK31" s="166"/>
    </row>
    <row r="32" spans="13:37" s="165" customFormat="1">
      <c r="M32" s="166"/>
      <c r="Q32" s="166"/>
      <c r="R32" s="166"/>
      <c r="S32" s="166"/>
      <c r="T32" s="166"/>
      <c r="U32" s="166"/>
      <c r="V32" s="166"/>
      <c r="W32" s="166"/>
      <c r="X32" s="166"/>
      <c r="Y32" s="166"/>
      <c r="Z32" s="166"/>
      <c r="AA32" s="166"/>
      <c r="AB32" s="166"/>
      <c r="AC32" s="166"/>
      <c r="AD32" s="166"/>
      <c r="AE32" s="166"/>
      <c r="AF32" s="166"/>
      <c r="AG32" s="166"/>
      <c r="AH32" s="166"/>
      <c r="AI32" s="166"/>
      <c r="AJ32" s="166"/>
      <c r="AK32" s="166"/>
    </row>
    <row r="33" spans="13:37" s="165" customFormat="1">
      <c r="M33" s="166"/>
      <c r="Q33" s="166"/>
      <c r="R33" s="166"/>
      <c r="S33" s="166"/>
      <c r="T33" s="166"/>
      <c r="U33" s="166"/>
      <c r="V33" s="166"/>
      <c r="W33" s="166"/>
      <c r="X33" s="166"/>
      <c r="Y33" s="166"/>
      <c r="Z33" s="166"/>
      <c r="AA33" s="166"/>
      <c r="AB33" s="166"/>
      <c r="AC33" s="166"/>
      <c r="AD33" s="166"/>
      <c r="AE33" s="166"/>
      <c r="AF33" s="166"/>
      <c r="AG33" s="166"/>
      <c r="AH33" s="166"/>
      <c r="AI33" s="166"/>
      <c r="AJ33" s="166"/>
      <c r="AK33" s="166"/>
    </row>
    <row r="34" spans="13:37" s="165" customFormat="1">
      <c r="M34" s="166"/>
      <c r="Q34" s="166"/>
      <c r="R34" s="166"/>
      <c r="S34" s="166"/>
      <c r="T34" s="166"/>
      <c r="U34" s="166"/>
      <c r="V34" s="166"/>
      <c r="W34" s="166"/>
      <c r="X34" s="166"/>
      <c r="Y34" s="166"/>
      <c r="Z34" s="166"/>
      <c r="AA34" s="166"/>
      <c r="AB34" s="166"/>
      <c r="AC34" s="166"/>
      <c r="AD34" s="166"/>
      <c r="AE34" s="166"/>
      <c r="AF34" s="166"/>
      <c r="AG34" s="166"/>
      <c r="AH34" s="166"/>
      <c r="AI34" s="166"/>
      <c r="AJ34" s="166"/>
      <c r="AK34" s="166"/>
    </row>
    <row r="35" spans="13:37" s="165" customFormat="1">
      <c r="M35" s="166"/>
      <c r="Q35" s="166"/>
      <c r="R35" s="166"/>
      <c r="S35" s="166"/>
      <c r="T35" s="166"/>
      <c r="U35" s="166"/>
      <c r="V35" s="166"/>
      <c r="W35" s="166"/>
      <c r="X35" s="166"/>
      <c r="Y35" s="166"/>
      <c r="Z35" s="166"/>
      <c r="AA35" s="166"/>
      <c r="AB35" s="166"/>
      <c r="AC35" s="166"/>
      <c r="AD35" s="166"/>
      <c r="AE35" s="166"/>
      <c r="AF35" s="166"/>
      <c r="AG35" s="166"/>
      <c r="AH35" s="166"/>
      <c r="AI35" s="166"/>
      <c r="AJ35" s="166"/>
      <c r="AK35" s="166"/>
    </row>
    <row r="36" spans="13:37" s="165" customFormat="1">
      <c r="M36" s="166"/>
      <c r="Q36" s="166"/>
      <c r="R36" s="166"/>
      <c r="S36" s="166"/>
      <c r="T36" s="166"/>
      <c r="U36" s="166"/>
      <c r="V36" s="166"/>
      <c r="W36" s="166"/>
      <c r="X36" s="166"/>
      <c r="Y36" s="166"/>
      <c r="Z36" s="166"/>
      <c r="AA36" s="166"/>
      <c r="AB36" s="166"/>
      <c r="AC36" s="166"/>
      <c r="AD36" s="166"/>
      <c r="AE36" s="166"/>
      <c r="AF36" s="166"/>
      <c r="AG36" s="166"/>
      <c r="AH36" s="166"/>
      <c r="AI36" s="166"/>
      <c r="AJ36" s="166"/>
      <c r="AK36" s="166"/>
    </row>
    <row r="37" spans="13:37" s="165" customFormat="1">
      <c r="M37" s="166"/>
      <c r="Q37" s="166"/>
      <c r="R37" s="166"/>
      <c r="S37" s="166"/>
      <c r="T37" s="166"/>
      <c r="U37" s="166"/>
      <c r="V37" s="166"/>
      <c r="W37" s="166"/>
      <c r="X37" s="166"/>
      <c r="Y37" s="166"/>
      <c r="Z37" s="166"/>
      <c r="AA37" s="166"/>
      <c r="AB37" s="166"/>
      <c r="AC37" s="166"/>
      <c r="AD37" s="166"/>
      <c r="AE37" s="166"/>
      <c r="AF37" s="166"/>
      <c r="AG37" s="166"/>
      <c r="AH37" s="166"/>
      <c r="AI37" s="166"/>
      <c r="AJ37" s="166"/>
      <c r="AK37" s="166"/>
    </row>
    <row r="38" spans="13:37" s="165" customFormat="1">
      <c r="M38" s="166"/>
      <c r="Q38" s="166"/>
      <c r="R38" s="166"/>
      <c r="S38" s="166"/>
      <c r="T38" s="166"/>
      <c r="U38" s="166"/>
      <c r="V38" s="166"/>
      <c r="W38" s="166"/>
      <c r="X38" s="166"/>
      <c r="Y38" s="166"/>
      <c r="Z38" s="166"/>
      <c r="AA38" s="166"/>
      <c r="AB38" s="166"/>
      <c r="AC38" s="166"/>
      <c r="AD38" s="166"/>
      <c r="AE38" s="166"/>
      <c r="AF38" s="166"/>
      <c r="AG38" s="166"/>
      <c r="AH38" s="166"/>
      <c r="AI38" s="166"/>
      <c r="AJ38" s="166"/>
      <c r="AK38" s="166"/>
    </row>
    <row r="39" spans="13:37" s="165" customFormat="1">
      <c r="M39" s="166"/>
      <c r="Q39" s="166"/>
      <c r="R39" s="166"/>
      <c r="S39" s="166"/>
      <c r="T39" s="166"/>
      <c r="U39" s="166"/>
      <c r="V39" s="166"/>
      <c r="W39" s="166"/>
      <c r="X39" s="166"/>
      <c r="Y39" s="166"/>
      <c r="Z39" s="166"/>
      <c r="AA39" s="166"/>
      <c r="AB39" s="166"/>
      <c r="AC39" s="166"/>
      <c r="AD39" s="166"/>
      <c r="AE39" s="166"/>
      <c r="AF39" s="166"/>
      <c r="AG39" s="166"/>
      <c r="AH39" s="166"/>
      <c r="AI39" s="166"/>
      <c r="AJ39" s="166"/>
      <c r="AK39" s="166"/>
    </row>
    <row r="40" spans="13:37" s="165" customFormat="1">
      <c r="M40" s="166"/>
      <c r="Q40" s="166"/>
      <c r="R40" s="166"/>
      <c r="S40" s="166"/>
      <c r="T40" s="166"/>
      <c r="U40" s="166"/>
      <c r="V40" s="166"/>
      <c r="W40" s="166"/>
      <c r="X40" s="166"/>
      <c r="Y40" s="166"/>
      <c r="Z40" s="166"/>
      <c r="AA40" s="166"/>
      <c r="AB40" s="166"/>
      <c r="AC40" s="166"/>
      <c r="AD40" s="166"/>
      <c r="AE40" s="166"/>
      <c r="AF40" s="166"/>
      <c r="AG40" s="166"/>
      <c r="AH40" s="166"/>
      <c r="AI40" s="166"/>
      <c r="AJ40" s="166"/>
      <c r="AK40" s="166"/>
    </row>
    <row r="41" spans="13:37" s="165" customFormat="1">
      <c r="M41" s="166"/>
      <c r="Q41" s="166"/>
      <c r="R41" s="166"/>
      <c r="S41" s="166"/>
      <c r="T41" s="166"/>
      <c r="U41" s="166"/>
      <c r="V41" s="166"/>
      <c r="W41" s="166"/>
      <c r="X41" s="166"/>
      <c r="Y41" s="166"/>
      <c r="Z41" s="166"/>
      <c r="AA41" s="166"/>
      <c r="AB41" s="166"/>
      <c r="AC41" s="166"/>
      <c r="AD41" s="166"/>
      <c r="AE41" s="166"/>
      <c r="AF41" s="166"/>
      <c r="AG41" s="166"/>
      <c r="AH41" s="166"/>
      <c r="AI41" s="166"/>
      <c r="AJ41" s="166"/>
      <c r="AK41" s="166"/>
    </row>
    <row r="42" spans="13:37" s="165" customFormat="1">
      <c r="M42" s="166"/>
      <c r="Q42" s="166"/>
      <c r="R42" s="166"/>
      <c r="S42" s="166"/>
      <c r="T42" s="166"/>
      <c r="U42" s="166"/>
      <c r="V42" s="166"/>
      <c r="W42" s="166"/>
      <c r="X42" s="166"/>
      <c r="Y42" s="166"/>
      <c r="Z42" s="166"/>
      <c r="AA42" s="166"/>
      <c r="AB42" s="166"/>
      <c r="AC42" s="166"/>
      <c r="AD42" s="166"/>
      <c r="AE42" s="166"/>
      <c r="AF42" s="166"/>
      <c r="AG42" s="166"/>
      <c r="AH42" s="166"/>
      <c r="AI42" s="166"/>
      <c r="AJ42" s="166"/>
      <c r="AK42" s="166"/>
    </row>
    <row r="43" spans="13:37" s="165" customFormat="1">
      <c r="M43" s="166"/>
      <c r="Q43" s="166"/>
      <c r="R43" s="166"/>
      <c r="S43" s="166"/>
      <c r="T43" s="166"/>
      <c r="U43" s="166"/>
      <c r="V43" s="166"/>
      <c r="W43" s="166"/>
      <c r="X43" s="166"/>
      <c r="Y43" s="166"/>
      <c r="Z43" s="166"/>
      <c r="AA43" s="166"/>
      <c r="AB43" s="166"/>
      <c r="AC43" s="166"/>
      <c r="AD43" s="166"/>
      <c r="AE43" s="166"/>
      <c r="AF43" s="166"/>
      <c r="AG43" s="166"/>
      <c r="AH43" s="166"/>
      <c r="AI43" s="166"/>
      <c r="AJ43" s="166"/>
      <c r="AK43" s="166"/>
    </row>
    <row r="44" spans="13:37" s="165" customFormat="1">
      <c r="M44" s="166"/>
      <c r="Q44" s="166"/>
      <c r="R44" s="166"/>
      <c r="S44" s="166"/>
      <c r="T44" s="166"/>
      <c r="U44" s="166"/>
      <c r="V44" s="166"/>
      <c r="W44" s="166"/>
      <c r="X44" s="166"/>
      <c r="Y44" s="166"/>
      <c r="Z44" s="166"/>
      <c r="AA44" s="166"/>
      <c r="AB44" s="166"/>
      <c r="AC44" s="166"/>
      <c r="AD44" s="166"/>
      <c r="AE44" s="166"/>
      <c r="AF44" s="166"/>
      <c r="AG44" s="166"/>
      <c r="AH44" s="166"/>
      <c r="AI44" s="166"/>
      <c r="AJ44" s="166"/>
      <c r="AK44" s="166"/>
    </row>
    <row r="45" spans="13:37" s="165" customFormat="1">
      <c r="M45" s="166"/>
      <c r="Q45" s="166"/>
      <c r="R45" s="166"/>
      <c r="S45" s="166"/>
      <c r="T45" s="166"/>
      <c r="U45" s="166"/>
      <c r="V45" s="166"/>
      <c r="W45" s="166"/>
      <c r="X45" s="166"/>
      <c r="Y45" s="166"/>
      <c r="Z45" s="166"/>
      <c r="AA45" s="166"/>
      <c r="AB45" s="166"/>
      <c r="AC45" s="166"/>
      <c r="AD45" s="166"/>
      <c r="AE45" s="166"/>
      <c r="AF45" s="166"/>
      <c r="AG45" s="166"/>
      <c r="AH45" s="166"/>
      <c r="AI45" s="166"/>
      <c r="AJ45" s="166"/>
      <c r="AK45" s="166"/>
    </row>
    <row r="46" spans="13:37" s="165" customFormat="1">
      <c r="M46" s="166"/>
      <c r="Q46" s="166"/>
      <c r="R46" s="166"/>
      <c r="S46" s="166"/>
      <c r="T46" s="166"/>
      <c r="U46" s="166"/>
      <c r="V46" s="166"/>
      <c r="W46" s="166"/>
      <c r="X46" s="166"/>
      <c r="Y46" s="166"/>
      <c r="Z46" s="166"/>
      <c r="AA46" s="166"/>
      <c r="AB46" s="166"/>
      <c r="AC46" s="166"/>
      <c r="AD46" s="166"/>
      <c r="AE46" s="166"/>
      <c r="AF46" s="166"/>
      <c r="AG46" s="166"/>
      <c r="AH46" s="166"/>
      <c r="AI46" s="166"/>
      <c r="AJ46" s="166"/>
      <c r="AK46" s="166"/>
    </row>
    <row r="47" spans="13:37" s="165" customFormat="1">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row>
    <row r="48" spans="13:37" s="165" customFormat="1">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row>
    <row r="49" spans="13:63" s="165" customFormat="1">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row>
    <row r="50" spans="13:63" s="165" customFormat="1">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row>
    <row r="51" spans="13:63" s="165" customFormat="1">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row>
    <row r="52" spans="13:63">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row>
    <row r="53" spans="13:63">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row>
    <row r="54" spans="13:63">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row>
    <row r="55" spans="13:63">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5E94-159F-4640-A80C-22F93769F3DA}">
  <sheetPr codeName="Sheet21">
    <pageSetUpPr fitToPage="1"/>
  </sheetPr>
  <dimension ref="A2:AH77"/>
  <sheetViews>
    <sheetView zoomScaleNormal="100"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8.140625" style="451" customWidth="1"/>
    <col min="3" max="3" width="20.5703125" style="451" hidden="1" customWidth="1" outlineLevel="1"/>
    <col min="4" max="4" width="8.140625" style="452" customWidth="1" collapsed="1"/>
    <col min="5" max="18" width="8.140625" style="452" customWidth="1"/>
    <col min="19" max="34" width="9.140625" style="496"/>
    <col min="35" max="16384" width="9.140625" style="451"/>
  </cols>
  <sheetData>
    <row r="2" spans="2:18">
      <c r="B2" s="616" t="str">
        <f>"Table A18. Low-Income Developing Countries: General Government Primary Balance, "&amp;D4&amp;"–"&amp;RIGHT(R4,2)</f>
        <v>Table A18. Low-Income Developing Countries: General Government Primary Balance, 2014–28</v>
      </c>
      <c r="C2" s="616"/>
      <c r="D2" s="616"/>
      <c r="E2" s="616"/>
      <c r="F2" s="616"/>
      <c r="G2" s="616"/>
      <c r="H2" s="616"/>
      <c r="I2" s="616"/>
      <c r="J2" s="616"/>
      <c r="K2" s="616"/>
      <c r="L2" s="616"/>
      <c r="M2" s="616"/>
      <c r="N2" s="616"/>
      <c r="O2" s="616"/>
      <c r="P2" s="616"/>
      <c r="Q2" s="616"/>
      <c r="R2" s="616"/>
    </row>
    <row r="3" spans="2:18">
      <c r="B3" s="619" t="s">
        <v>81</v>
      </c>
      <c r="C3" s="620"/>
      <c r="D3" s="620"/>
      <c r="E3" s="620"/>
      <c r="F3" s="620"/>
      <c r="G3" s="620"/>
      <c r="H3" s="620"/>
      <c r="I3" s="620"/>
      <c r="J3" s="620"/>
      <c r="K3" s="620"/>
      <c r="L3" s="620"/>
      <c r="M3" s="620"/>
      <c r="N3" s="620"/>
      <c r="O3" s="620"/>
      <c r="P3" s="620"/>
      <c r="Q3" s="620"/>
      <c r="R3" s="620"/>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ht="14.1" customHeight="1">
      <c r="B5" s="459" t="s">
        <v>196</v>
      </c>
      <c r="C5" s="491" t="s">
        <v>125</v>
      </c>
      <c r="D5" s="461">
        <v>-1.9271887085924848</v>
      </c>
      <c r="E5" s="461">
        <v>-2.4686188192417897</v>
      </c>
      <c r="F5" s="461">
        <v>-2.2932457711928498</v>
      </c>
      <c r="G5" s="461">
        <v>-2.2300457320505647</v>
      </c>
      <c r="H5" s="461">
        <v>-1.6718568495178014</v>
      </c>
      <c r="I5" s="461">
        <v>-1.8739030659436924</v>
      </c>
      <c r="J5" s="461">
        <v>-3.2074090942481646</v>
      </c>
      <c r="K5" s="461">
        <v>-2.8089010379633459</v>
      </c>
      <c r="L5" s="461">
        <v>-2.271446949704393</v>
      </c>
      <c r="M5" s="461">
        <v>-2.3623381455437609</v>
      </c>
      <c r="N5" s="461">
        <v>-2.0278229986899841</v>
      </c>
      <c r="O5" s="461">
        <v>-1.893469080679012</v>
      </c>
      <c r="P5" s="461">
        <v>-1.772585018189782</v>
      </c>
      <c r="Q5" s="461">
        <v>-1.7436586360672299</v>
      </c>
      <c r="R5" s="461">
        <v>-1.6393212756798146</v>
      </c>
    </row>
    <row r="6" spans="2:18" ht="14.1" customHeight="1">
      <c r="B6" s="462" t="s">
        <v>129</v>
      </c>
      <c r="C6" s="491" t="s">
        <v>1033</v>
      </c>
      <c r="D6" s="461">
        <v>-1.6400512747728542</v>
      </c>
      <c r="E6" s="461">
        <v>-3.0579525938966268</v>
      </c>
      <c r="F6" s="461">
        <v>-3.6886224859427221</v>
      </c>
      <c r="G6" s="461">
        <v>-4.086412843237726</v>
      </c>
      <c r="H6" s="461">
        <v>-2.5104316266763531</v>
      </c>
      <c r="I6" s="461">
        <v>-2.8543653645189111</v>
      </c>
      <c r="J6" s="461">
        <v>-3.2835535393554545</v>
      </c>
      <c r="K6" s="461">
        <v>-3.3429230022459158</v>
      </c>
      <c r="L6" s="461">
        <v>-2.2770367563459875</v>
      </c>
      <c r="M6" s="461">
        <v>-2.5612955990543385</v>
      </c>
      <c r="N6" s="461">
        <v>-2.5673266286560885</v>
      </c>
      <c r="O6" s="461">
        <v>-2.6440624462016489</v>
      </c>
      <c r="P6" s="461">
        <v>-2.6490775174935051</v>
      </c>
      <c r="Q6" s="461">
        <v>-2.6719098776566272</v>
      </c>
      <c r="R6" s="461">
        <v>-2.6038377081683874</v>
      </c>
    </row>
    <row r="7" spans="2:18" ht="14.1" customHeight="1">
      <c r="B7" s="462" t="s">
        <v>108</v>
      </c>
      <c r="C7" s="491" t="s">
        <v>1034</v>
      </c>
      <c r="D7" s="461">
        <v>-2.0460773456834112</v>
      </c>
      <c r="E7" s="461">
        <v>-2.3210259072988042</v>
      </c>
      <c r="F7" s="461">
        <v>-1.7452694198433782</v>
      </c>
      <c r="G7" s="461">
        <v>-1.6529309594158397</v>
      </c>
      <c r="H7" s="461">
        <v>-1.267217558434256</v>
      </c>
      <c r="I7" s="461">
        <v>-1.5578002205821706</v>
      </c>
      <c r="J7" s="461">
        <v>-2.7360296462397291</v>
      </c>
      <c r="K7" s="461">
        <v>-2.6697571352603697</v>
      </c>
      <c r="L7" s="461">
        <v>-1.9831732667560005</v>
      </c>
      <c r="M7" s="461">
        <v>-3.0418152154349589</v>
      </c>
      <c r="N7" s="461">
        <v>-2.6432277581680892</v>
      </c>
      <c r="O7" s="461">
        <v>-2.4951692928840297</v>
      </c>
      <c r="P7" s="461">
        <v>-2.2521777781125998</v>
      </c>
      <c r="Q7" s="461">
        <v>-2.1044283436247593</v>
      </c>
      <c r="R7" s="461">
        <v>-1.945697973762436</v>
      </c>
    </row>
    <row r="8" spans="2:18" ht="14.1" customHeight="1">
      <c r="B8" s="462" t="s">
        <v>117</v>
      </c>
      <c r="C8" s="491" t="s">
        <v>1035</v>
      </c>
      <c r="D8" s="461">
        <v>-2.4406931521174346</v>
      </c>
      <c r="E8" s="461">
        <v>-0.69230024654477595</v>
      </c>
      <c r="F8" s="461">
        <v>-0.17009146469632522</v>
      </c>
      <c r="G8" s="461">
        <v>-5.607895741417835E-2</v>
      </c>
      <c r="H8" s="461">
        <v>-0.36255327350534988</v>
      </c>
      <c r="I8" s="461">
        <v>0.1096989541510011</v>
      </c>
      <c r="J8" s="461">
        <v>-2.6182863174488449</v>
      </c>
      <c r="K8" s="461">
        <v>-1.6954721092813154</v>
      </c>
      <c r="L8" s="461">
        <v>-0.13325768165954929</v>
      </c>
      <c r="M8" s="461">
        <v>-1.3099659033755209</v>
      </c>
      <c r="N8" s="461">
        <v>-1.0673599671912566</v>
      </c>
      <c r="O8" s="461">
        <v>-0.6343512003536973</v>
      </c>
      <c r="P8" s="461">
        <v>-0.52759147675138363</v>
      </c>
      <c r="Q8" s="461">
        <v>-0.42117027739655288</v>
      </c>
      <c r="R8" s="461">
        <v>-0.456176447056581</v>
      </c>
    </row>
    <row r="9" spans="2:18" ht="14.1" customHeight="1">
      <c r="B9" s="462" t="s">
        <v>1036</v>
      </c>
      <c r="C9" s="491" t="s">
        <v>1037</v>
      </c>
      <c r="D9" s="461">
        <v>-2.1551539696866544</v>
      </c>
      <c r="E9" s="461">
        <v>-2.7812832384629216</v>
      </c>
      <c r="F9" s="461">
        <v>-2.9130486343491797</v>
      </c>
      <c r="G9" s="461">
        <v>-2.7748144863367443</v>
      </c>
      <c r="H9" s="461">
        <v>-2.0023899088666588</v>
      </c>
      <c r="I9" s="461">
        <v>-2.0464931848790586</v>
      </c>
      <c r="J9" s="461">
        <v>-3.5925900133965878</v>
      </c>
      <c r="K9" s="461">
        <v>-3.0723008818990638</v>
      </c>
      <c r="L9" s="461">
        <v>-2.5798508540163128</v>
      </c>
      <c r="M9" s="461">
        <v>-1.9192711284905986</v>
      </c>
      <c r="N9" s="461">
        <v>-1.602601090272364</v>
      </c>
      <c r="O9" s="461">
        <v>-1.5034437371451415</v>
      </c>
      <c r="P9" s="461">
        <v>-1.444444174305141</v>
      </c>
      <c r="Q9" s="461">
        <v>-1.4914800086212507</v>
      </c>
      <c r="R9" s="461">
        <v>-1.3843606067950631</v>
      </c>
    </row>
    <row r="10" spans="2:18" ht="14.1" customHeight="1">
      <c r="B10" s="462" t="s">
        <v>232</v>
      </c>
      <c r="C10" s="491" t="s">
        <v>1038</v>
      </c>
      <c r="D10" s="461">
        <v>-0.43092608014281264</v>
      </c>
      <c r="E10" s="461">
        <v>-1.8107162977072939</v>
      </c>
      <c r="F10" s="461">
        <v>-1.6099512878956161</v>
      </c>
      <c r="G10" s="461">
        <v>-2.0767964632458389</v>
      </c>
      <c r="H10" s="461">
        <v>-1.7251798620919052</v>
      </c>
      <c r="I10" s="461">
        <v>-2.7984497199480485</v>
      </c>
      <c r="J10" s="461">
        <v>-3.1733213471723678</v>
      </c>
      <c r="K10" s="461">
        <v>-2.0072234476421782</v>
      </c>
      <c r="L10" s="461">
        <v>-2.3539813584090901</v>
      </c>
      <c r="M10" s="461">
        <v>-2.4738951454910749</v>
      </c>
      <c r="N10" s="461">
        <v>-2.2434734698376757</v>
      </c>
      <c r="O10" s="461">
        <v>-2.0153913180446188</v>
      </c>
      <c r="P10" s="461">
        <v>-2.0372210435955465</v>
      </c>
      <c r="Q10" s="461">
        <v>-2.0766898876616846</v>
      </c>
      <c r="R10" s="461">
        <v>-2.1989211309053407</v>
      </c>
    </row>
    <row r="11" spans="2:18" ht="16.5" customHeight="1">
      <c r="B11" s="451" t="s">
        <v>1039</v>
      </c>
      <c r="C11" s="451" t="s">
        <v>1039</v>
      </c>
      <c r="D11" s="465">
        <v>-1.6850429138689216</v>
      </c>
      <c r="E11" s="465">
        <v>-1.3264922618744768</v>
      </c>
      <c r="F11" s="465">
        <v>0.19218505151315959</v>
      </c>
      <c r="G11" s="465">
        <v>-0.60419914848068057</v>
      </c>
      <c r="H11" s="465">
        <v>1.6935967990763523</v>
      </c>
      <c r="I11" s="465">
        <v>-1.0187428657267046</v>
      </c>
      <c r="J11" s="465">
        <v>-2.2058302862453125</v>
      </c>
      <c r="K11" s="465" t="s">
        <v>139</v>
      </c>
      <c r="L11" s="465" t="s">
        <v>139</v>
      </c>
      <c r="M11" s="465" t="s">
        <v>145</v>
      </c>
      <c r="N11" s="465" t="s">
        <v>145</v>
      </c>
      <c r="O11" s="465" t="s">
        <v>145</v>
      </c>
      <c r="P11" s="465" t="s">
        <v>145</v>
      </c>
      <c r="Q11" s="465" t="s">
        <v>145</v>
      </c>
      <c r="R11" s="465" t="s">
        <v>145</v>
      </c>
    </row>
    <row r="12" spans="2:18" ht="13.5" customHeight="1">
      <c r="B12" s="464" t="s">
        <v>1040</v>
      </c>
      <c r="C12" s="464" t="s">
        <v>1040</v>
      </c>
      <c r="D12" s="465">
        <v>-0.87939348666244399</v>
      </c>
      <c r="E12" s="465">
        <v>-1.5839949455728517</v>
      </c>
      <c r="F12" s="465">
        <v>-1.567545786180697</v>
      </c>
      <c r="G12" s="465">
        <v>-2.6314595062406556</v>
      </c>
      <c r="H12" s="465">
        <v>-2.466528723550268</v>
      </c>
      <c r="I12" s="465">
        <v>-3.7138533731018351</v>
      </c>
      <c r="J12" s="465">
        <v>-3.0010980983534172</v>
      </c>
      <c r="K12" s="465">
        <v>-1.6058747175951806</v>
      </c>
      <c r="L12" s="465">
        <v>-2.0786436312522216</v>
      </c>
      <c r="M12" s="465">
        <v>-3.8211487235448356</v>
      </c>
      <c r="N12" s="465">
        <v>-3.3000000000000003</v>
      </c>
      <c r="O12" s="465">
        <v>-3.2939999999999996</v>
      </c>
      <c r="P12" s="465">
        <v>-3.3000000000000003</v>
      </c>
      <c r="Q12" s="465">
        <v>-3.2855361039308568</v>
      </c>
      <c r="R12" s="465">
        <v>-3.2021663909835825</v>
      </c>
    </row>
    <row r="13" spans="2:18" ht="13.5" customHeight="1">
      <c r="B13" s="464" t="s">
        <v>1041</v>
      </c>
      <c r="C13" s="464" t="s">
        <v>1041</v>
      </c>
      <c r="D13" s="465">
        <v>-1.3711724002892156</v>
      </c>
      <c r="E13" s="465">
        <v>-5.0138471430519242</v>
      </c>
      <c r="F13" s="465">
        <v>-3.3844185198344667</v>
      </c>
      <c r="G13" s="465">
        <v>-2.7609022453556764</v>
      </c>
      <c r="H13" s="465">
        <v>-1.3852562202987715</v>
      </c>
      <c r="I13" s="465">
        <v>1.056962809033948</v>
      </c>
      <c r="J13" s="465">
        <v>-2.7249870351409013</v>
      </c>
      <c r="K13" s="465">
        <v>-3.4674306090656639</v>
      </c>
      <c r="L13" s="465">
        <v>-3.7406330231989382</v>
      </c>
      <c r="M13" s="465">
        <v>-2.7190247524937257</v>
      </c>
      <c r="N13" s="465">
        <v>-1.0734343343916228</v>
      </c>
      <c r="O13" s="465">
        <v>-1.1817645677738433</v>
      </c>
      <c r="P13" s="465">
        <v>-1.2439326678565854</v>
      </c>
      <c r="Q13" s="465">
        <v>-1.2814860947210398</v>
      </c>
      <c r="R13" s="465">
        <v>-1.311239809832119</v>
      </c>
    </row>
    <row r="14" spans="2:18" ht="13.5" customHeight="1">
      <c r="B14" s="464" t="s">
        <v>1042</v>
      </c>
      <c r="C14" s="464" t="s">
        <v>1042</v>
      </c>
      <c r="D14" s="465">
        <v>-1.0981215228724466</v>
      </c>
      <c r="E14" s="465">
        <v>-1.4642672844538298</v>
      </c>
      <c r="F14" s="465">
        <v>-2.2252858996622167</v>
      </c>
      <c r="G14" s="465">
        <v>-6.034796749441675</v>
      </c>
      <c r="H14" s="465">
        <v>-3.3380172022906711</v>
      </c>
      <c r="I14" s="465">
        <v>-2.1334285349721362</v>
      </c>
      <c r="J14" s="465">
        <v>-3.7626010340974227</v>
      </c>
      <c r="K14" s="465">
        <v>-5.6752468359524162</v>
      </c>
      <c r="L14" s="465">
        <v>-8.5002471428590294</v>
      </c>
      <c r="M14" s="465">
        <v>-5.9311124815152301</v>
      </c>
      <c r="N14" s="465">
        <v>-4.8663124769469093</v>
      </c>
      <c r="O14" s="465">
        <v>-3.4484815084373692</v>
      </c>
      <c r="P14" s="465">
        <v>-1.9525684545613677</v>
      </c>
      <c r="Q14" s="465">
        <v>-0.65412338186939289</v>
      </c>
      <c r="R14" s="465">
        <v>-0.6426041566405275</v>
      </c>
    </row>
    <row r="15" spans="2:18" ht="13.5" customHeight="1">
      <c r="B15" s="464" t="s">
        <v>1043</v>
      </c>
      <c r="C15" s="464" t="s">
        <v>1043</v>
      </c>
      <c r="D15" s="465">
        <v>-1.3041633264582155</v>
      </c>
      <c r="E15" s="465">
        <v>-0.34253975881211152</v>
      </c>
      <c r="F15" s="465">
        <v>5.8993788851450332E-2</v>
      </c>
      <c r="G15" s="465">
        <v>-0.45347028006230183</v>
      </c>
      <c r="H15" s="465">
        <v>1.0008868311921109</v>
      </c>
      <c r="I15" s="465">
        <v>3.2963585805925448</v>
      </c>
      <c r="J15" s="465">
        <v>-3.0408964725740502</v>
      </c>
      <c r="K15" s="465">
        <v>-6.6997257344360062</v>
      </c>
      <c r="L15" s="465">
        <v>-3.8327133980689552</v>
      </c>
      <c r="M15" s="465">
        <v>-4.7088531918860994</v>
      </c>
      <c r="N15" s="465">
        <v>-3.1164252898238711</v>
      </c>
      <c r="O15" s="465">
        <v>-2.7509785335706569</v>
      </c>
      <c r="P15" s="465">
        <v>-2.4694072251300216</v>
      </c>
      <c r="Q15" s="465">
        <v>-2.3180996961646096</v>
      </c>
      <c r="R15" s="465">
        <v>-2.6570261931448811</v>
      </c>
    </row>
    <row r="16" spans="2:18" ht="13.5" customHeight="1">
      <c r="B16" s="464" t="s">
        <v>1044</v>
      </c>
      <c r="C16" s="464" t="s">
        <v>1044</v>
      </c>
      <c r="D16" s="465">
        <v>-3.702406991132031</v>
      </c>
      <c r="E16" s="465">
        <v>-3.8786400172653002</v>
      </c>
      <c r="F16" s="465">
        <v>-5.1586725317570128</v>
      </c>
      <c r="G16" s="465">
        <v>-3.8945387034361416</v>
      </c>
      <c r="H16" s="465">
        <v>-1.5134541503753871</v>
      </c>
      <c r="I16" s="465">
        <v>-2.2473243107174636</v>
      </c>
      <c r="J16" s="465">
        <v>-2.3471261675339035</v>
      </c>
      <c r="K16" s="465">
        <v>-2.0236111318859868</v>
      </c>
      <c r="L16" s="465">
        <v>-0.87679079557371475</v>
      </c>
      <c r="M16" s="465">
        <v>0.31629414725103794</v>
      </c>
      <c r="N16" s="465">
        <v>0.4699887353932295</v>
      </c>
      <c r="O16" s="465">
        <v>0.75789757200131702</v>
      </c>
      <c r="P16" s="465">
        <v>0.34773668341441699</v>
      </c>
      <c r="Q16" s="465">
        <v>-3.2429313978774833E-2</v>
      </c>
      <c r="R16" s="465">
        <v>-3.7182574676473623E-2</v>
      </c>
    </row>
    <row r="17" spans="2:33" ht="13.5" customHeight="1">
      <c r="B17" s="464" t="s">
        <v>241</v>
      </c>
      <c r="C17" s="464" t="s">
        <v>241</v>
      </c>
      <c r="D17" s="465">
        <v>-3.5967381602876012</v>
      </c>
      <c r="E17" s="465">
        <v>-2.6945700623225446</v>
      </c>
      <c r="F17" s="465">
        <v>5.9255198320563918E-2</v>
      </c>
      <c r="G17" s="465">
        <v>1.344828550992111</v>
      </c>
      <c r="H17" s="465">
        <v>3.0233801340122257</v>
      </c>
      <c r="I17" s="465">
        <v>0.81819805712091653</v>
      </c>
      <c r="J17" s="465">
        <v>3.0354766113487686</v>
      </c>
      <c r="K17" s="465">
        <v>-0.43259590849871465</v>
      </c>
      <c r="L17" s="465">
        <v>6.6418804174147708</v>
      </c>
      <c r="M17" s="465">
        <v>8.2783526859578167</v>
      </c>
      <c r="N17" s="465">
        <v>5.4653491898584194</v>
      </c>
      <c r="O17" s="465">
        <v>5.5311470273040726</v>
      </c>
      <c r="P17" s="465">
        <v>6.7234103889809047</v>
      </c>
      <c r="Q17" s="465">
        <v>5.2912746817503198</v>
      </c>
      <c r="R17" s="465">
        <v>5.6094320194967118</v>
      </c>
    </row>
    <row r="18" spans="2:33" ht="13.5" customHeight="1">
      <c r="B18" s="464" t="s">
        <v>1045</v>
      </c>
      <c r="C18" s="464" t="s">
        <v>1045</v>
      </c>
      <c r="D18" s="465">
        <v>0.26390364723421156</v>
      </c>
      <c r="E18" s="465">
        <v>-0.12858225019872399</v>
      </c>
      <c r="F18" s="465">
        <v>-0.21688909066677492</v>
      </c>
      <c r="G18" s="465">
        <v>1.5666051723443732</v>
      </c>
      <c r="H18" s="465">
        <v>0.35895168309997122</v>
      </c>
      <c r="I18" s="465">
        <v>-1.7532737928175703</v>
      </c>
      <c r="J18" s="465">
        <v>-1.1840241205394639</v>
      </c>
      <c r="K18" s="465">
        <v>-0.63045987612649801</v>
      </c>
      <c r="L18" s="465">
        <v>-1.2284872696694522</v>
      </c>
      <c r="M18" s="465">
        <v>-1.2410205303282593</v>
      </c>
      <c r="N18" s="465">
        <v>-2.0925471558714368</v>
      </c>
      <c r="O18" s="465">
        <v>-2.6297876838033631</v>
      </c>
      <c r="P18" s="465">
        <v>-2.4993371945669813</v>
      </c>
      <c r="Q18" s="465">
        <v>-2.8127095156037747</v>
      </c>
      <c r="R18" s="465">
        <v>-2.9105076052971182</v>
      </c>
      <c r="T18" s="499"/>
      <c r="U18" s="499"/>
      <c r="V18" s="499"/>
      <c r="W18" s="499"/>
      <c r="X18" s="499"/>
      <c r="Y18" s="499"/>
      <c r="Z18" s="499"/>
      <c r="AA18" s="499"/>
      <c r="AB18" s="499"/>
      <c r="AC18" s="499"/>
      <c r="AD18" s="499"/>
      <c r="AE18" s="499"/>
      <c r="AF18" s="499"/>
      <c r="AG18" s="499"/>
    </row>
    <row r="19" spans="2:33" ht="13.5" customHeight="1">
      <c r="B19" s="464" t="s">
        <v>1046</v>
      </c>
      <c r="C19" s="464" t="s">
        <v>1046</v>
      </c>
      <c r="D19" s="465">
        <v>-10.550175215031457</v>
      </c>
      <c r="E19" s="465">
        <v>-17.159312945477129</v>
      </c>
      <c r="F19" s="465">
        <v>-13.583833690973529</v>
      </c>
      <c r="G19" s="465">
        <v>-4.2765772576474177</v>
      </c>
      <c r="H19" s="465">
        <v>7.5205602526198883</v>
      </c>
      <c r="I19" s="465">
        <v>7.818457692487736</v>
      </c>
      <c r="J19" s="465">
        <v>0.11285905509550469</v>
      </c>
      <c r="K19" s="465">
        <v>4.0679880827010688</v>
      </c>
      <c r="L19" s="465">
        <v>9.1927493536365645</v>
      </c>
      <c r="M19" s="465">
        <v>7.4589754772803492</v>
      </c>
      <c r="N19" s="465">
        <v>7.8478075314978897</v>
      </c>
      <c r="O19" s="465">
        <v>6.2593481464464906</v>
      </c>
      <c r="P19" s="465">
        <v>6.1678283280118471</v>
      </c>
      <c r="Q19" s="465">
        <v>7.0916399556225942</v>
      </c>
      <c r="R19" s="465">
        <v>8.3278079147308706</v>
      </c>
    </row>
    <row r="20" spans="2:33" ht="13.5" customHeight="1">
      <c r="B20" s="464" t="s">
        <v>239</v>
      </c>
      <c r="C20" s="464" t="s">
        <v>239</v>
      </c>
      <c r="D20" s="465">
        <v>-0.68318447884665001</v>
      </c>
      <c r="E20" s="465">
        <v>-0.9437834036928987</v>
      </c>
      <c r="F20" s="465">
        <v>-1.7232364752119533</v>
      </c>
      <c r="G20" s="465">
        <v>-2.0296450426043879</v>
      </c>
      <c r="H20" s="465">
        <v>-1.5690600326709814</v>
      </c>
      <c r="I20" s="465">
        <v>-0.75302365604119015</v>
      </c>
      <c r="J20" s="465">
        <v>-3.5916470733859778</v>
      </c>
      <c r="K20" s="465">
        <v>-2.8556996940296142</v>
      </c>
      <c r="L20" s="465">
        <v>-4.5046550620537582</v>
      </c>
      <c r="M20" s="465">
        <v>-2.5229647927857335</v>
      </c>
      <c r="N20" s="465">
        <v>-1.4606388913373156</v>
      </c>
      <c r="O20" s="465">
        <v>-0.65842189424460695</v>
      </c>
      <c r="P20" s="465">
        <v>-0.8407215854846708</v>
      </c>
      <c r="Q20" s="465">
        <v>-0.86877015526369195</v>
      </c>
      <c r="R20" s="465">
        <v>-0.98525441649389023</v>
      </c>
    </row>
    <row r="21" spans="2:33" ht="13.5" customHeight="1">
      <c r="B21" s="464" t="s">
        <v>1048</v>
      </c>
      <c r="C21" s="464" t="s">
        <v>1048</v>
      </c>
      <c r="D21" s="465">
        <v>-2.2246451091941868</v>
      </c>
      <c r="E21" s="465">
        <v>-1.5358298271942501</v>
      </c>
      <c r="F21" s="465">
        <v>-1.8392711910908521</v>
      </c>
      <c r="G21" s="465">
        <v>-2.7933409675276635</v>
      </c>
      <c r="H21" s="465">
        <v>-2.5031596353486787</v>
      </c>
      <c r="I21" s="465">
        <v>-2.0307343431180529</v>
      </c>
      <c r="J21" s="465">
        <v>-2.3647887260151874</v>
      </c>
      <c r="K21" s="465">
        <v>-2.2139817052236332</v>
      </c>
      <c r="L21" s="465">
        <v>-3.5329169337338415</v>
      </c>
      <c r="M21" s="465">
        <v>-2.8744777904133616</v>
      </c>
      <c r="N21" s="465">
        <v>-2.2991218217248908</v>
      </c>
      <c r="O21" s="465">
        <v>-2.1543041398975573</v>
      </c>
      <c r="P21" s="465">
        <v>-2.0718567606910745</v>
      </c>
      <c r="Q21" s="465">
        <v>-1.7432149872419862</v>
      </c>
      <c r="R21" s="465">
        <v>-1.721412233810224</v>
      </c>
    </row>
    <row r="22" spans="2:33" ht="13.5" customHeight="1">
      <c r="B22" s="464" t="s">
        <v>1049</v>
      </c>
      <c r="C22" s="464" t="s">
        <v>1049</v>
      </c>
      <c r="D22" s="465">
        <v>-3.3497491829474217</v>
      </c>
      <c r="E22" s="465">
        <v>0.93761463710907367</v>
      </c>
      <c r="F22" s="465">
        <v>-1.4956968434510902</v>
      </c>
      <c r="G22" s="465">
        <v>1.1981563274087219</v>
      </c>
      <c r="H22" s="465">
        <v>-1.3510258424388808</v>
      </c>
      <c r="I22" s="465">
        <v>-1.9745139164010539</v>
      </c>
      <c r="J22" s="465">
        <v>-11.166633199042879</v>
      </c>
      <c r="K22" s="465">
        <v>-4.7954117189869852</v>
      </c>
      <c r="L22" s="465">
        <v>-2.7737960929208958</v>
      </c>
      <c r="M22" s="465">
        <v>6.0423346622739876E-2</v>
      </c>
      <c r="N22" s="465">
        <v>0.63115391072584437</v>
      </c>
      <c r="O22" s="465">
        <v>1.0000000000000229</v>
      </c>
      <c r="P22" s="465">
        <v>0.99999999999998668</v>
      </c>
      <c r="Q22" s="465">
        <v>1.0000000000000107</v>
      </c>
      <c r="R22" s="465">
        <v>0.9999999999999728</v>
      </c>
    </row>
    <row r="23" spans="2:33" ht="13.5" customHeight="1">
      <c r="B23" s="464" t="s">
        <v>1050</v>
      </c>
      <c r="C23" s="464" t="s">
        <v>1050</v>
      </c>
      <c r="D23" s="465">
        <v>-2.1900868523214485</v>
      </c>
      <c r="E23" s="465">
        <v>-5.7273225789501758</v>
      </c>
      <c r="F23" s="465">
        <v>0.94842377529994215</v>
      </c>
      <c r="G23" s="465">
        <v>-1.1511506524433068</v>
      </c>
      <c r="H23" s="465">
        <v>-0.26957319959141701</v>
      </c>
      <c r="I23" s="465">
        <v>0.20345422275572744</v>
      </c>
      <c r="J23" s="465">
        <v>-2.3690484454490037</v>
      </c>
      <c r="K23" s="465">
        <v>-1.1540200726927432</v>
      </c>
      <c r="L23" s="465">
        <v>7.8852928083997118E-2</v>
      </c>
      <c r="M23" s="465">
        <v>-1.5937894916355839</v>
      </c>
      <c r="N23" s="465">
        <v>-1.5884934924402689</v>
      </c>
      <c r="O23" s="465">
        <v>-1.482853768868962</v>
      </c>
      <c r="P23" s="465">
        <v>-1.550747805955252</v>
      </c>
      <c r="Q23" s="465">
        <v>-1.672038287038623</v>
      </c>
      <c r="R23" s="465">
        <v>-1.2743610825555334</v>
      </c>
      <c r="T23" s="499"/>
      <c r="U23" s="499"/>
      <c r="V23" s="499"/>
      <c r="W23" s="499"/>
      <c r="X23" s="499"/>
      <c r="Y23" s="499"/>
      <c r="Z23" s="499"/>
    </row>
    <row r="24" spans="2:33" ht="13.5" customHeight="1">
      <c r="B24" s="464" t="s">
        <v>1051</v>
      </c>
      <c r="C24" s="464" t="s">
        <v>1051</v>
      </c>
      <c r="D24" s="465">
        <v>-3.4096271402435478</v>
      </c>
      <c r="E24" s="465">
        <v>-1.374803216529275</v>
      </c>
      <c r="F24" s="465">
        <v>0.19261811385861066</v>
      </c>
      <c r="G24" s="465">
        <v>0.29030384115484914</v>
      </c>
      <c r="H24" s="465">
        <v>-0.82890101954784245</v>
      </c>
      <c r="I24" s="465">
        <v>-1.8398792576086089</v>
      </c>
      <c r="J24" s="465">
        <v>-2.1475702928354106</v>
      </c>
      <c r="K24" s="465">
        <v>-2.2538818323789305</v>
      </c>
      <c r="L24" s="465">
        <v>-1.8500837368006742</v>
      </c>
      <c r="M24" s="465">
        <v>-1.562398330502575</v>
      </c>
      <c r="N24" s="465">
        <v>-1.5762919833263092</v>
      </c>
      <c r="O24" s="465">
        <v>-1.611402017492978</v>
      </c>
      <c r="P24" s="465">
        <v>-1.8955656335104203</v>
      </c>
      <c r="Q24" s="465">
        <v>-1.9770033030297107</v>
      </c>
      <c r="R24" s="465">
        <v>-2.2539760118954892</v>
      </c>
      <c r="T24" s="513"/>
      <c r="U24" s="513"/>
      <c r="V24" s="513"/>
      <c r="W24" s="513"/>
      <c r="X24" s="513"/>
      <c r="Y24" s="513"/>
      <c r="Z24" s="513"/>
    </row>
    <row r="25" spans="2:33" ht="15.75" customHeight="1">
      <c r="B25" s="464" t="s">
        <v>1052</v>
      </c>
      <c r="C25" s="464" t="s">
        <v>1052</v>
      </c>
      <c r="D25" s="465">
        <v>-2.6304116167968528</v>
      </c>
      <c r="E25" s="465">
        <v>2.0070783707069578E-2</v>
      </c>
      <c r="F25" s="465">
        <v>0.21930510479950183</v>
      </c>
      <c r="G25" s="465">
        <v>0.2048377996387159</v>
      </c>
      <c r="H25" s="465">
        <v>0.80351496897477348</v>
      </c>
      <c r="I25" s="465">
        <v>0.83749231396039059</v>
      </c>
      <c r="J25" s="465">
        <v>-3.759446055847758</v>
      </c>
      <c r="K25" s="465">
        <v>-2.1180733430028029</v>
      </c>
      <c r="L25" s="465">
        <v>1.3018370948563807</v>
      </c>
      <c r="M25" s="465" t="s">
        <v>145</v>
      </c>
      <c r="N25" s="465" t="s">
        <v>145</v>
      </c>
      <c r="O25" s="465" t="s">
        <v>145</v>
      </c>
      <c r="P25" s="465" t="s">
        <v>145</v>
      </c>
      <c r="Q25" s="465" t="s">
        <v>145</v>
      </c>
      <c r="R25" s="465" t="s">
        <v>145</v>
      </c>
      <c r="S25" s="451"/>
      <c r="T25" s="451"/>
    </row>
    <row r="26" spans="2:33" ht="13.5" customHeight="1">
      <c r="B26" s="464" t="s">
        <v>126</v>
      </c>
      <c r="C26" s="464" t="s">
        <v>126</v>
      </c>
      <c r="D26" s="465">
        <v>-3.4256265262861887</v>
      </c>
      <c r="E26" s="465">
        <v>-4.2152294656745015</v>
      </c>
      <c r="F26" s="465">
        <v>-4.645103454656609</v>
      </c>
      <c r="G26" s="465">
        <v>-4.1701679842811483</v>
      </c>
      <c r="H26" s="465">
        <v>-3.4349502608188485</v>
      </c>
      <c r="I26" s="465">
        <v>-3.7851211962762301</v>
      </c>
      <c r="J26" s="465">
        <v>-4.2047846483129137</v>
      </c>
      <c r="K26" s="465">
        <v>-3.072880076970721</v>
      </c>
      <c r="L26" s="465">
        <v>-1.6555740053323216</v>
      </c>
      <c r="M26" s="465">
        <v>-0.55167367079986518</v>
      </c>
      <c r="N26" s="465">
        <v>0.35366040277585381</v>
      </c>
      <c r="O26" s="465">
        <v>0.60214325235818467</v>
      </c>
      <c r="P26" s="465">
        <v>0.64578409731381581</v>
      </c>
      <c r="Q26" s="465">
        <v>0.70069550152216253</v>
      </c>
      <c r="R26" s="465">
        <v>0.81670023313318829</v>
      </c>
    </row>
    <row r="27" spans="2:33" ht="13.5" customHeight="1">
      <c r="B27" s="464" t="s">
        <v>1053</v>
      </c>
      <c r="C27" s="464" t="s">
        <v>1053</v>
      </c>
      <c r="D27" s="465">
        <v>-2.3094115002807625</v>
      </c>
      <c r="E27" s="465">
        <v>-1.6973577208456214</v>
      </c>
      <c r="F27" s="465">
        <v>-4.8875671643994751</v>
      </c>
      <c r="G27" s="465">
        <v>-2.8637540831688875</v>
      </c>
      <c r="H27" s="465">
        <v>0.43315435216731996</v>
      </c>
      <c r="I27" s="465">
        <v>0.80350493542073398</v>
      </c>
      <c r="J27" s="465">
        <v>-2.2608161909465347</v>
      </c>
      <c r="K27" s="465">
        <v>2.5803823245145571E-2</v>
      </c>
      <c r="L27" s="465">
        <v>-0.20641178333398541</v>
      </c>
      <c r="M27" s="465">
        <v>-2.8433120155158416</v>
      </c>
      <c r="N27" s="465">
        <v>-2.9849984615123399</v>
      </c>
      <c r="O27" s="465">
        <v>-2.6125097349260917</v>
      </c>
      <c r="P27" s="465">
        <v>-2.3282870210276094</v>
      </c>
      <c r="Q27" s="465">
        <v>-2.2325831416010815</v>
      </c>
      <c r="R27" s="465">
        <v>-2.0342647789216834</v>
      </c>
    </row>
    <row r="28" spans="2:33" ht="13.5" customHeight="1">
      <c r="B28" s="464" t="s">
        <v>1054</v>
      </c>
      <c r="C28" s="464" t="s">
        <v>1054</v>
      </c>
      <c r="D28" s="465">
        <v>-2.4137842435747348</v>
      </c>
      <c r="E28" s="465">
        <v>-4.805524119963116</v>
      </c>
      <c r="F28" s="465">
        <v>-3.9570826029502659</v>
      </c>
      <c r="G28" s="465">
        <v>-4.7468169669245039</v>
      </c>
      <c r="H28" s="465">
        <v>-3.5376097846260177</v>
      </c>
      <c r="I28" s="465">
        <v>-2.0177605727012513</v>
      </c>
      <c r="J28" s="465">
        <v>-4.0867056709944949</v>
      </c>
      <c r="K28" s="465">
        <v>-0.34565508765412606</v>
      </c>
      <c r="L28" s="465">
        <v>2.2739923269873414E-2</v>
      </c>
      <c r="M28" s="465">
        <v>0.31946441368183176</v>
      </c>
      <c r="N28" s="465">
        <v>0.27258723012717229</v>
      </c>
      <c r="O28" s="465">
        <v>0.22212735314538851</v>
      </c>
      <c r="P28" s="465">
        <v>0.16828816904980301</v>
      </c>
      <c r="Q28" s="465">
        <v>0.1112417432822753</v>
      </c>
      <c r="R28" s="465">
        <v>5.1151299763083836E-2</v>
      </c>
    </row>
    <row r="29" spans="2:33" ht="13.5" customHeight="1">
      <c r="B29" s="464" t="s">
        <v>1055</v>
      </c>
      <c r="C29" s="464" t="s">
        <v>1055</v>
      </c>
      <c r="D29" s="465">
        <v>-1.4897957528365124</v>
      </c>
      <c r="E29" s="465">
        <v>-2.1569419096416143</v>
      </c>
      <c r="F29" s="465">
        <v>-0.36780138242563321</v>
      </c>
      <c r="G29" s="465">
        <v>-1.407581985809417</v>
      </c>
      <c r="H29" s="465">
        <v>-0.56887072656753457</v>
      </c>
      <c r="I29" s="465">
        <v>-0.72322801166597483</v>
      </c>
      <c r="J29" s="465">
        <v>-3.2254587014068732</v>
      </c>
      <c r="K29" s="465">
        <v>-2.1537204110293513</v>
      </c>
      <c r="L29" s="465">
        <v>-6.1190674135032337</v>
      </c>
      <c r="M29" s="465">
        <v>-2.026082827603072</v>
      </c>
      <c r="N29" s="465">
        <v>-2.3833818722212552</v>
      </c>
      <c r="O29" s="465">
        <v>-3.2973235859209296</v>
      </c>
      <c r="P29" s="465">
        <v>-3.1498758429413485</v>
      </c>
      <c r="Q29" s="465">
        <v>-3.8595175945140023</v>
      </c>
      <c r="R29" s="465">
        <v>-3.9773951778927716</v>
      </c>
    </row>
    <row r="30" spans="2:33" ht="13.5" customHeight="1">
      <c r="B30" s="464" t="s">
        <v>1056</v>
      </c>
      <c r="C30" s="464" t="s">
        <v>1056</v>
      </c>
      <c r="D30" s="465">
        <v>-1.0012519999510007E-2</v>
      </c>
      <c r="E30" s="465">
        <v>-1.8739170654147412</v>
      </c>
      <c r="F30" s="465">
        <v>-1.8449999181687586</v>
      </c>
      <c r="G30" s="465">
        <v>-2.3850614676501349</v>
      </c>
      <c r="H30" s="465">
        <v>-1.5997242259770794</v>
      </c>
      <c r="I30" s="465">
        <v>-1.497740449250853</v>
      </c>
      <c r="J30" s="465">
        <v>-4.9898481896477485</v>
      </c>
      <c r="K30" s="465">
        <v>-4.5799766652709026</v>
      </c>
      <c r="L30" s="465">
        <v>-5.6452399613840809</v>
      </c>
      <c r="M30" s="465">
        <v>-0.98133203400513169</v>
      </c>
      <c r="N30" s="465">
        <v>-0.6808992418498212</v>
      </c>
      <c r="O30" s="465">
        <v>4.9597423727322704E-2</v>
      </c>
      <c r="P30" s="465">
        <v>1.0186677947658258</v>
      </c>
      <c r="Q30" s="465">
        <v>1.3513963121650758</v>
      </c>
      <c r="R30" s="465">
        <v>1.7944476226385164</v>
      </c>
    </row>
    <row r="31" spans="2:33" ht="13.5" customHeight="1">
      <c r="B31" s="464" t="s">
        <v>240</v>
      </c>
      <c r="C31" s="464" t="s">
        <v>240</v>
      </c>
      <c r="D31" s="465">
        <v>-2.2981062711299471</v>
      </c>
      <c r="E31" s="465">
        <v>-1.2292021149599766</v>
      </c>
      <c r="F31" s="465">
        <v>-3.2701668360781921</v>
      </c>
      <c r="G31" s="465">
        <v>-2.0277192802272794</v>
      </c>
      <c r="H31" s="465">
        <v>-3.856441970268055</v>
      </c>
      <c r="I31" s="465">
        <v>-0.65582259675006449</v>
      </c>
      <c r="J31" s="465">
        <v>-4.1541643151282912</v>
      </c>
      <c r="K31" s="465">
        <v>-3.4817482556029358</v>
      </c>
      <c r="L31" s="465">
        <v>-3.3206824409436377</v>
      </c>
      <c r="M31" s="465">
        <v>-3.2410047589440305</v>
      </c>
      <c r="N31" s="465">
        <v>-2.7410047589439355</v>
      </c>
      <c r="O31" s="465">
        <v>-2.0410047589439388</v>
      </c>
      <c r="P31" s="465">
        <v>-1.4410047589440089</v>
      </c>
      <c r="Q31" s="465">
        <v>-1.4410047589439647</v>
      </c>
      <c r="R31" s="465">
        <v>-1.441004758943951</v>
      </c>
    </row>
    <row r="32" spans="2:33" ht="13.5" customHeight="1">
      <c r="B32" s="464" t="s">
        <v>1057</v>
      </c>
      <c r="C32" s="464" t="s">
        <v>1057</v>
      </c>
      <c r="D32" s="465">
        <v>-1.1176069333712946</v>
      </c>
      <c r="E32" s="465">
        <v>-1.1886495397841015</v>
      </c>
      <c r="F32" s="465">
        <v>-0.41998683751714577</v>
      </c>
      <c r="G32" s="465">
        <v>0.462764915087922</v>
      </c>
      <c r="H32" s="465">
        <v>-4.6016498014702818E-2</v>
      </c>
      <c r="I32" s="465">
        <v>-0.66989488739780612</v>
      </c>
      <c r="J32" s="465">
        <v>-4.4624420986497197</v>
      </c>
      <c r="K32" s="465">
        <v>-1.8167158202491505</v>
      </c>
      <c r="L32" s="465">
        <v>-2.2557704687285121</v>
      </c>
      <c r="M32" s="465">
        <v>-4.2358204656655154</v>
      </c>
      <c r="N32" s="465">
        <v>-3.4992793646557141</v>
      </c>
      <c r="O32" s="465">
        <v>-2.6982776042477501</v>
      </c>
      <c r="P32" s="465">
        <v>-2.2918080924344735</v>
      </c>
      <c r="Q32" s="465">
        <v>-1.9591815685896761</v>
      </c>
      <c r="R32" s="465">
        <v>-1.5332190627397346</v>
      </c>
    </row>
    <row r="33" spans="2:18" ht="13.5" customHeight="1">
      <c r="B33" s="464" t="s">
        <v>1058</v>
      </c>
      <c r="C33" s="464" t="s">
        <v>1058</v>
      </c>
      <c r="D33" s="465">
        <v>-8.8657154457002694</v>
      </c>
      <c r="E33" s="465">
        <v>-5.465550833523583</v>
      </c>
      <c r="F33" s="465">
        <v>-2.664989496397578</v>
      </c>
      <c r="G33" s="465">
        <v>0.96733799430361656</v>
      </c>
      <c r="H33" s="465">
        <v>-1.1601248152276293</v>
      </c>
      <c r="I33" s="465">
        <v>3.3499867890901194</v>
      </c>
      <c r="J33" s="465">
        <v>-2.2625905442162102</v>
      </c>
      <c r="K33" s="465">
        <v>-0.91886468375569974</v>
      </c>
      <c r="L33" s="465">
        <v>-2.124895321604761</v>
      </c>
      <c r="M33" s="465">
        <v>-1.6446926818190686</v>
      </c>
      <c r="N33" s="465">
        <v>-7.457019778130446E-3</v>
      </c>
      <c r="O33" s="465">
        <v>0.81757477166686032</v>
      </c>
      <c r="P33" s="465">
        <v>1.4518831199764213</v>
      </c>
      <c r="Q33" s="465">
        <v>2.0052483988269483</v>
      </c>
      <c r="R33" s="465">
        <v>2.5854512372476122</v>
      </c>
    </row>
    <row r="34" spans="2:18" ht="13.5" customHeight="1">
      <c r="B34" s="464" t="s">
        <v>1059</v>
      </c>
      <c r="C34" s="464" t="s">
        <v>1059</v>
      </c>
      <c r="D34" s="465">
        <v>-6.633368165980974E-2</v>
      </c>
      <c r="E34" s="465">
        <v>-1.6151040018747824</v>
      </c>
      <c r="F34" s="465">
        <v>-2.6029036304603865</v>
      </c>
      <c r="G34" s="465">
        <v>-1.5238510637297256</v>
      </c>
      <c r="H34" s="465">
        <v>-1.6233451374341394</v>
      </c>
      <c r="I34" s="465">
        <v>-2.4344500702419252</v>
      </c>
      <c r="J34" s="465">
        <v>-4.0070638788807784</v>
      </c>
      <c r="K34" s="465">
        <v>-8.9199985862922304</v>
      </c>
      <c r="L34" s="465">
        <v>-2.5243791807409548</v>
      </c>
      <c r="M34" s="465">
        <v>-2.1567084714857949</v>
      </c>
      <c r="N34" s="465">
        <v>-2.2867084714857913</v>
      </c>
      <c r="O34" s="465">
        <v>-2.3667084714857305</v>
      </c>
      <c r="P34" s="465">
        <v>-1.796708471485766</v>
      </c>
      <c r="Q34" s="465">
        <v>-1.2767084714857357</v>
      </c>
      <c r="R34" s="465">
        <v>-1.0767084714857664</v>
      </c>
    </row>
    <row r="35" spans="2:18" ht="13.5" customHeight="1">
      <c r="B35" s="464" t="s">
        <v>242</v>
      </c>
      <c r="C35" s="464" t="s">
        <v>242</v>
      </c>
      <c r="D35" s="465">
        <v>1.8489485876881664</v>
      </c>
      <c r="E35" s="465">
        <v>0.92200786308141092</v>
      </c>
      <c r="F35" s="465">
        <v>1.4629794773609199</v>
      </c>
      <c r="G35" s="465">
        <v>-2.4008046346626859</v>
      </c>
      <c r="H35" s="465">
        <v>-5.4006924795328839</v>
      </c>
      <c r="I35" s="465">
        <v>-4.4877893109337892</v>
      </c>
      <c r="J35" s="465">
        <v>-4.7312586470934042</v>
      </c>
      <c r="K35" s="465">
        <v>-3.2746486592805235</v>
      </c>
      <c r="L35" s="465">
        <v>-2.4071026384806982</v>
      </c>
      <c r="M35" s="465">
        <v>-3.2585475739100511</v>
      </c>
      <c r="N35" s="465">
        <v>-2.7751295491770671</v>
      </c>
      <c r="O35" s="465">
        <v>-2.2960303787757583</v>
      </c>
      <c r="P35" s="465">
        <v>-1.5703625973771844</v>
      </c>
      <c r="Q35" s="465">
        <v>-1.3308462989929901</v>
      </c>
      <c r="R35" s="465">
        <v>-1.4233168059226211</v>
      </c>
    </row>
    <row r="36" spans="2:18" ht="13.5" customHeight="1">
      <c r="B36" s="464" t="s">
        <v>1060</v>
      </c>
      <c r="C36" s="464" t="s">
        <v>1060</v>
      </c>
      <c r="D36" s="465">
        <v>-0.89066448147878052</v>
      </c>
      <c r="E36" s="465">
        <v>-1.0703677911147067</v>
      </c>
      <c r="F36" s="465">
        <v>-1.1887092636917811</v>
      </c>
      <c r="G36" s="465">
        <v>-0.87175115532987701</v>
      </c>
      <c r="H36" s="465">
        <v>-1.928086326410779</v>
      </c>
      <c r="I36" s="465">
        <v>0.94770462369238895</v>
      </c>
      <c r="J36" s="465">
        <v>-1.0154208013411314</v>
      </c>
      <c r="K36" s="465">
        <v>-3.3056473087284912E-3</v>
      </c>
      <c r="L36" s="465">
        <v>-0.7660893295194624</v>
      </c>
      <c r="M36" s="465">
        <v>2.2029156410344156E-2</v>
      </c>
      <c r="N36" s="465">
        <v>0.27893120504342206</v>
      </c>
      <c r="O36" s="465">
        <v>0.73458930236522724</v>
      </c>
      <c r="P36" s="465">
        <v>1.0512140490085793</v>
      </c>
      <c r="Q36" s="465">
        <v>1.0588229422055164</v>
      </c>
      <c r="R36" s="465">
        <v>0.93024075561690522</v>
      </c>
    </row>
    <row r="37" spans="2:18" ht="13.5" customHeight="1">
      <c r="B37" s="464" t="s">
        <v>1061</v>
      </c>
      <c r="C37" s="464" t="s">
        <v>1061</v>
      </c>
      <c r="D37" s="465">
        <v>-5.8248194139323797</v>
      </c>
      <c r="E37" s="465">
        <v>-6.2830192906969273</v>
      </c>
      <c r="F37" s="465">
        <v>-3.7801132690986701</v>
      </c>
      <c r="G37" s="465">
        <v>-3.3930906285293565</v>
      </c>
      <c r="H37" s="465">
        <v>-2.058332469958331</v>
      </c>
      <c r="I37" s="465">
        <v>-2.5706530517588635</v>
      </c>
      <c r="J37" s="465">
        <v>-3.7714126970917388</v>
      </c>
      <c r="K37" s="465">
        <v>-4.7731807721697272</v>
      </c>
      <c r="L37" s="465">
        <v>-5.6184615654441048</v>
      </c>
      <c r="M37" s="465">
        <v>-4.0266565394817091</v>
      </c>
      <c r="N37" s="465">
        <v>-2.8586685690200073</v>
      </c>
      <c r="O37" s="465">
        <v>-1.7448403511827328</v>
      </c>
      <c r="P37" s="465">
        <v>-1.7750391998369832</v>
      </c>
      <c r="Q37" s="465">
        <v>-1.8081616032490404</v>
      </c>
      <c r="R37" s="465">
        <v>-1.8412241035388015</v>
      </c>
    </row>
    <row r="38" spans="2:18" ht="13.5" customHeight="1">
      <c r="B38" s="464" t="s">
        <v>127</v>
      </c>
      <c r="C38" s="464" t="s">
        <v>127</v>
      </c>
      <c r="D38" s="465">
        <v>-1.4588700262226626</v>
      </c>
      <c r="E38" s="465">
        <v>-2.6702282477690984</v>
      </c>
      <c r="F38" s="465">
        <v>-3.3633877800513723</v>
      </c>
      <c r="G38" s="465">
        <v>-4.0599096316882521</v>
      </c>
      <c r="H38" s="465">
        <v>-2.6214623907387375</v>
      </c>
      <c r="I38" s="465">
        <v>-3.0134096945899094</v>
      </c>
      <c r="J38" s="465">
        <v>-3.4661399478605954</v>
      </c>
      <c r="K38" s="465">
        <v>-3.6313361948171687</v>
      </c>
      <c r="L38" s="465">
        <v>-2.6859682782230889</v>
      </c>
      <c r="M38" s="465">
        <v>-2.9818343325506698</v>
      </c>
      <c r="N38" s="465">
        <v>-2.9834456749248748</v>
      </c>
      <c r="O38" s="465">
        <v>-3.0068995917337786</v>
      </c>
      <c r="P38" s="465">
        <v>-2.9783094481372152</v>
      </c>
      <c r="Q38" s="465">
        <v>-2.9232737750257138</v>
      </c>
      <c r="R38" s="465">
        <v>-2.8456665279851832</v>
      </c>
    </row>
    <row r="39" spans="2:18" ht="13.5" customHeight="1">
      <c r="B39" s="464" t="s">
        <v>1062</v>
      </c>
      <c r="C39" s="464" t="s">
        <v>1062</v>
      </c>
      <c r="D39" s="465">
        <v>-4.6317538198545893</v>
      </c>
      <c r="E39" s="465">
        <v>-2.8192342496900809</v>
      </c>
      <c r="F39" s="465">
        <v>-2.8271962605218848</v>
      </c>
      <c r="G39" s="465">
        <v>-0.37202685620082809</v>
      </c>
      <c r="H39" s="465">
        <v>-0.24658499083985416</v>
      </c>
      <c r="I39" s="465">
        <v>-1.891973112357423</v>
      </c>
      <c r="J39" s="465">
        <v>-6.2346232899241256</v>
      </c>
      <c r="K39" s="465">
        <v>-4.3519078562551741</v>
      </c>
      <c r="L39" s="465">
        <v>-3.3351376444557204</v>
      </c>
      <c r="M39" s="465">
        <v>-2.1677824089250319</v>
      </c>
      <c r="N39" s="465">
        <v>-1.2491004202733458</v>
      </c>
      <c r="O39" s="465">
        <v>0.29971984334763652</v>
      </c>
      <c r="P39" s="465">
        <v>1.3931409929517262</v>
      </c>
      <c r="Q39" s="465">
        <v>2.5665609478733571</v>
      </c>
      <c r="R39" s="465">
        <v>1.9733348300580773</v>
      </c>
    </row>
    <row r="40" spans="2:18" ht="13.5" customHeight="1">
      <c r="B40" s="464" t="s">
        <v>1063</v>
      </c>
      <c r="C40" s="464" t="s">
        <v>1063</v>
      </c>
      <c r="D40" s="465">
        <v>-3.1472663681980726</v>
      </c>
      <c r="E40" s="465">
        <v>-1.8453734373354045</v>
      </c>
      <c r="F40" s="465">
        <v>-1.3042028514479089</v>
      </c>
      <c r="G40" s="465">
        <v>-1.481298720394683</v>
      </c>
      <c r="H40" s="465">
        <v>-1.3960341501899287</v>
      </c>
      <c r="I40" s="465">
        <v>-3.7915520264500153</v>
      </c>
      <c r="J40" s="465">
        <v>-7.9150686498618006</v>
      </c>
      <c r="K40" s="465">
        <v>-5.180533786613295</v>
      </c>
      <c r="L40" s="465">
        <v>-4.400465161709155</v>
      </c>
      <c r="M40" s="465">
        <v>-3.1934449158266798</v>
      </c>
      <c r="N40" s="465">
        <v>-4.0723314173898872</v>
      </c>
      <c r="O40" s="465">
        <v>-2.4477718661101786</v>
      </c>
      <c r="P40" s="465">
        <v>-1.7991037282357247</v>
      </c>
      <c r="Q40" s="465">
        <v>-1.4649558926978408</v>
      </c>
      <c r="R40" s="465">
        <v>-1.601063974713685</v>
      </c>
    </row>
    <row r="41" spans="2:18" ht="13.5" customHeight="1">
      <c r="B41" s="464" t="s">
        <v>237</v>
      </c>
      <c r="C41" s="464" t="s">
        <v>237</v>
      </c>
      <c r="D41" s="465">
        <v>-2.5561251416899715</v>
      </c>
      <c r="E41" s="465">
        <v>-2.1436970033448635</v>
      </c>
      <c r="F41" s="465">
        <v>-1.6090408982927664</v>
      </c>
      <c r="G41" s="465">
        <v>-1.0509116509126533</v>
      </c>
      <c r="H41" s="465">
        <v>-1.6689943238006641</v>
      </c>
      <c r="I41" s="465">
        <v>-1.9393448350993145</v>
      </c>
      <c r="J41" s="465">
        <v>-4.3512000364087786</v>
      </c>
      <c r="K41" s="465">
        <v>-4.300210493312842</v>
      </c>
      <c r="L41" s="465">
        <v>-3.8811966038582293</v>
      </c>
      <c r="M41" s="465">
        <v>-2.7048968139285852</v>
      </c>
      <c r="N41" s="465">
        <v>-1.8227342502406318</v>
      </c>
      <c r="O41" s="465">
        <v>-0.73402806703301904</v>
      </c>
      <c r="P41" s="465">
        <v>-0.66967664637276914</v>
      </c>
      <c r="Q41" s="465">
        <v>-0.58842005308676693</v>
      </c>
      <c r="R41" s="465">
        <v>-0.62335974284768625</v>
      </c>
    </row>
    <row r="42" spans="2:18" ht="13.5" customHeight="1">
      <c r="B42" s="464" t="s">
        <v>1064</v>
      </c>
      <c r="C42" s="464" t="s">
        <v>1064</v>
      </c>
      <c r="D42" s="465">
        <v>-3.9194959401612182</v>
      </c>
      <c r="E42" s="465">
        <v>-3.1610596900017489</v>
      </c>
      <c r="F42" s="465">
        <v>-3.5093637745178556</v>
      </c>
      <c r="G42" s="465">
        <v>-5.6072453861669285</v>
      </c>
      <c r="H42" s="465">
        <v>-7.6893878586296402</v>
      </c>
      <c r="I42" s="465">
        <v>-10.646804429565366</v>
      </c>
      <c r="J42" s="465">
        <v>-5.9023342855607908</v>
      </c>
      <c r="K42" s="465">
        <v>-0.24315009129534604</v>
      </c>
      <c r="L42" s="465">
        <v>-2.0084909942455478</v>
      </c>
      <c r="M42" s="465">
        <v>-1.9819228919777141</v>
      </c>
      <c r="N42" s="465">
        <v>-2.0445347515234187</v>
      </c>
      <c r="O42" s="465">
        <v>-1.9829220448972691</v>
      </c>
      <c r="P42" s="465">
        <v>-1.97829456857999</v>
      </c>
      <c r="Q42" s="465">
        <v>-1.5687268373861574</v>
      </c>
      <c r="R42" s="465">
        <v>-2.1638023032302831</v>
      </c>
    </row>
    <row r="43" spans="2:18" ht="13.5" customHeight="1">
      <c r="B43" s="464" t="s">
        <v>1065</v>
      </c>
      <c r="C43" s="464" t="s">
        <v>1065</v>
      </c>
      <c r="D43" s="465">
        <v>1.4122921101321817</v>
      </c>
      <c r="E43" s="465">
        <v>-1.4658993731612178</v>
      </c>
      <c r="F43" s="465">
        <v>-8.292814082842586</v>
      </c>
      <c r="G43" s="465">
        <v>-5.2198821198342511</v>
      </c>
      <c r="H43" s="465">
        <v>-1.6124345144048893</v>
      </c>
      <c r="I43" s="465">
        <v>-1.2152495290210548</v>
      </c>
      <c r="J43" s="465">
        <v>-3.4163316110497712</v>
      </c>
      <c r="K43" s="465">
        <v>0.19859712858642209</v>
      </c>
      <c r="L43" s="465">
        <v>-0.6080312745070916</v>
      </c>
      <c r="M43" s="465">
        <v>-1.7947370751797629</v>
      </c>
      <c r="N43" s="465">
        <v>-1.8257137846119587</v>
      </c>
      <c r="O43" s="465">
        <v>-1.8506717326877711</v>
      </c>
      <c r="P43" s="465">
        <v>-1.9491885381297418</v>
      </c>
      <c r="Q43" s="465">
        <v>-2.2120671523693889</v>
      </c>
      <c r="R43" s="465">
        <v>-2.3564737034366861</v>
      </c>
    </row>
    <row r="44" spans="2:18" ht="13.5" customHeight="1">
      <c r="B44" s="464" t="s">
        <v>1066</v>
      </c>
      <c r="C44" s="464" t="s">
        <v>1066</v>
      </c>
      <c r="D44" s="465">
        <v>-1.5567101016453739</v>
      </c>
      <c r="E44" s="465">
        <v>-1.7126707488381787</v>
      </c>
      <c r="F44" s="465">
        <v>-0.60592340882998896</v>
      </c>
      <c r="G44" s="465">
        <v>0.40235256458293395</v>
      </c>
      <c r="H44" s="465">
        <v>-0.22680050850937533</v>
      </c>
      <c r="I44" s="465">
        <v>-0.2979072283256563</v>
      </c>
      <c r="J44" s="465">
        <v>-0.86269832578991601</v>
      </c>
      <c r="K44" s="465">
        <v>-1.766940352027728</v>
      </c>
      <c r="L44" s="465">
        <v>-1.6800201428349502</v>
      </c>
      <c r="M44" s="465">
        <v>-1.1246453398093401</v>
      </c>
      <c r="N44" s="465">
        <v>-0.64433072169130146</v>
      </c>
      <c r="O44" s="465">
        <v>-0.52945477312693312</v>
      </c>
      <c r="P44" s="465">
        <v>-0.45551357192662822</v>
      </c>
      <c r="Q44" s="465">
        <v>-0.45736094596129778</v>
      </c>
      <c r="R44" s="465">
        <v>-0.45852131811403485</v>
      </c>
    </row>
    <row r="45" spans="2:18" ht="13.5" customHeight="1">
      <c r="B45" s="464" t="s">
        <v>243</v>
      </c>
      <c r="C45" s="464" t="s">
        <v>243</v>
      </c>
      <c r="D45" s="465">
        <v>-1.5303686919981969</v>
      </c>
      <c r="E45" s="465">
        <v>-1.0849502781789988</v>
      </c>
      <c r="F45" s="465">
        <v>-0.57539128111806437</v>
      </c>
      <c r="G45" s="465">
        <v>-1.4951169255609411</v>
      </c>
      <c r="H45" s="465">
        <v>-1.2277712640505452</v>
      </c>
      <c r="I45" s="465">
        <v>-2.7136638836508853</v>
      </c>
      <c r="J45" s="465">
        <v>-5.2239935665684953</v>
      </c>
      <c r="K45" s="465">
        <v>-4.5582017373013546</v>
      </c>
      <c r="L45" s="465">
        <v>-2.6050461913650484</v>
      </c>
      <c r="M45" s="465">
        <v>-0.87368530653422571</v>
      </c>
      <c r="N45" s="465">
        <v>-0.44961612565994052</v>
      </c>
      <c r="O45" s="465">
        <v>-0.73077387867836618</v>
      </c>
      <c r="P45" s="465">
        <v>0.28763237692061921</v>
      </c>
      <c r="Q45" s="465">
        <v>-1.7511965317332547</v>
      </c>
      <c r="R45" s="465">
        <v>1.2800512888688886</v>
      </c>
    </row>
    <row r="46" spans="2:18">
      <c r="B46" s="464" t="s">
        <v>1067</v>
      </c>
      <c r="C46" s="464" t="s">
        <v>1067</v>
      </c>
      <c r="D46" s="465">
        <v>1.7811162161863257</v>
      </c>
      <c r="E46" s="465">
        <v>-0.40308668869386061</v>
      </c>
      <c r="F46" s="465">
        <v>0.55641558433852911</v>
      </c>
      <c r="G46" s="465">
        <v>0.90474651831457231</v>
      </c>
      <c r="H46" s="465">
        <v>1.5540649878828392</v>
      </c>
      <c r="I46" s="465">
        <v>-0.45494443020047592</v>
      </c>
      <c r="J46" s="465">
        <v>-3.3524477747045895</v>
      </c>
      <c r="K46" s="465">
        <v>-4.7768512698899466</v>
      </c>
      <c r="L46" s="465">
        <v>-4.1301490499553939</v>
      </c>
      <c r="M46" s="465">
        <v>-3.1134123696248857</v>
      </c>
      <c r="N46" s="465">
        <v>-2.9406151827974347</v>
      </c>
      <c r="O46" s="465">
        <v>-2.7023082593538637</v>
      </c>
      <c r="P46" s="465">
        <v>-2.6857904950948597</v>
      </c>
      <c r="Q46" s="465">
        <v>-2.7287777175506851</v>
      </c>
      <c r="R46" s="465">
        <v>-2.7655826277231408</v>
      </c>
    </row>
    <row r="47" spans="2:18">
      <c r="B47" s="464" t="s">
        <v>128</v>
      </c>
      <c r="C47" s="464" t="s">
        <v>128</v>
      </c>
      <c r="D47" s="465">
        <v>-3.6649050830284891</v>
      </c>
      <c r="E47" s="465">
        <v>-3.4032413071477774</v>
      </c>
      <c r="F47" s="465">
        <v>-1.6251016720922069</v>
      </c>
      <c r="G47" s="465">
        <v>-0.4112661667854311</v>
      </c>
      <c r="H47" s="465">
        <v>0.49961197058483064</v>
      </c>
      <c r="I47" s="465">
        <v>0.992414847820979</v>
      </c>
      <c r="J47" s="465">
        <v>-1.5376834747321637</v>
      </c>
      <c r="K47" s="465">
        <v>-2.223790287012414</v>
      </c>
      <c r="L47" s="465">
        <v>-1.3332074932327271</v>
      </c>
      <c r="M47" s="465">
        <v>-2.2641798010928218</v>
      </c>
      <c r="N47" s="465">
        <v>-2.0077086826886408</v>
      </c>
      <c r="O47" s="465">
        <v>-1.8148757866998113</v>
      </c>
      <c r="P47" s="465">
        <v>-1.4353372049830513</v>
      </c>
      <c r="Q47" s="465">
        <v>-1.2166736122777861</v>
      </c>
      <c r="R47" s="465">
        <v>-0.83924965561603548</v>
      </c>
    </row>
    <row r="48" spans="2:18">
      <c r="B48" s="464" t="s">
        <v>1068</v>
      </c>
      <c r="C48" s="464" t="s">
        <v>1068</v>
      </c>
      <c r="D48" s="465">
        <v>1.5057284651007541</v>
      </c>
      <c r="E48" s="465">
        <v>-2.5701184301368225</v>
      </c>
      <c r="F48" s="465">
        <v>-3.1579181891210091</v>
      </c>
      <c r="G48" s="465">
        <v>-4.6712659904057503</v>
      </c>
      <c r="H48" s="465">
        <v>-7.7745998833474674</v>
      </c>
      <c r="I48" s="465">
        <v>-5.6556866199467297</v>
      </c>
      <c r="J48" s="465">
        <v>-2.8276209294546795</v>
      </c>
      <c r="K48" s="465">
        <v>0.25629457718369814</v>
      </c>
      <c r="L48" s="465">
        <v>-0.6312682230728015</v>
      </c>
      <c r="M48" s="465">
        <v>-1.038091172953741</v>
      </c>
      <c r="N48" s="465">
        <v>0.82410991518800103</v>
      </c>
      <c r="O48" s="465">
        <v>0.75522808180034084</v>
      </c>
      <c r="P48" s="465">
        <v>-0.14314876909754809</v>
      </c>
      <c r="Q48" s="465">
        <v>-1.2659676834398281</v>
      </c>
      <c r="R48" s="465">
        <v>-1.4551476852681586</v>
      </c>
    </row>
    <row r="49" spans="2:18">
      <c r="B49" s="464" t="s">
        <v>1069</v>
      </c>
      <c r="C49" s="464" t="s">
        <v>1069</v>
      </c>
      <c r="D49" s="465">
        <v>-3.2112670695262224</v>
      </c>
      <c r="E49" s="465">
        <v>-6.0290078496267059</v>
      </c>
      <c r="F49" s="465">
        <v>-2.2441482370868702</v>
      </c>
      <c r="G49" s="465">
        <v>-3.5085150232806535</v>
      </c>
      <c r="H49" s="465">
        <v>-3.5470393868046601</v>
      </c>
      <c r="I49" s="465">
        <v>-2.4969557128682207</v>
      </c>
      <c r="J49" s="465">
        <v>-7.834280326437197</v>
      </c>
      <c r="K49" s="465">
        <v>-2.0466358477201037</v>
      </c>
      <c r="L49" s="465">
        <v>-1.5572518149790304</v>
      </c>
      <c r="M49" s="465">
        <v>0.23897630818546503</v>
      </c>
      <c r="N49" s="465">
        <v>0.59862009126424964</v>
      </c>
      <c r="O49" s="465">
        <v>1.267458344114752</v>
      </c>
      <c r="P49" s="465">
        <v>1.0821654899899764</v>
      </c>
      <c r="Q49" s="465">
        <v>1.9526910628578593</v>
      </c>
      <c r="R49" s="465">
        <v>2.2041512710310345</v>
      </c>
    </row>
    <row r="50" spans="2:18">
      <c r="B50" s="466" t="s">
        <v>1070</v>
      </c>
      <c r="C50" s="466" t="s">
        <v>1070</v>
      </c>
      <c r="D50" s="467">
        <v>-0.4115002540546705</v>
      </c>
      <c r="E50" s="467">
        <v>-0.91720612919658029</v>
      </c>
      <c r="F50" s="467">
        <v>-6.0016839490834029</v>
      </c>
      <c r="G50" s="467">
        <v>-9.6631614578934233</v>
      </c>
      <c r="H50" s="467">
        <v>-4.4328342463037291</v>
      </c>
      <c r="I50" s="467">
        <v>-0.54465222241861611</v>
      </c>
      <c r="J50" s="467">
        <v>0.88506918635879939</v>
      </c>
      <c r="K50" s="467">
        <v>-1.7437943450425559</v>
      </c>
      <c r="L50" s="467">
        <v>-1.9727827029465475</v>
      </c>
      <c r="M50" s="467">
        <v>-2.8309729232139453</v>
      </c>
      <c r="N50" s="467">
        <v>-2.1004676295224711</v>
      </c>
      <c r="O50" s="467">
        <v>-2.0922073681204489</v>
      </c>
      <c r="P50" s="467">
        <v>-2.0922073681204569</v>
      </c>
      <c r="Q50" s="467">
        <v>-2.0757211151084611</v>
      </c>
      <c r="R50" s="467">
        <v>-2.0757211151084918</v>
      </c>
    </row>
    <row r="51" spans="2:18" ht="6" customHeight="1">
      <c r="B51" s="473"/>
      <c r="C51" s="464"/>
      <c r="D51" s="465"/>
      <c r="E51" s="465"/>
      <c r="F51" s="465"/>
      <c r="G51" s="465"/>
      <c r="H51" s="465"/>
      <c r="I51" s="465"/>
      <c r="J51" s="465"/>
      <c r="K51" s="465"/>
      <c r="L51" s="465"/>
      <c r="M51" s="465"/>
      <c r="N51" s="465"/>
      <c r="O51" s="465"/>
      <c r="P51" s="465"/>
      <c r="Q51" s="465"/>
      <c r="R51" s="465"/>
    </row>
    <row r="52" spans="2:18" ht="10.5" customHeight="1">
      <c r="B52" s="613" t="s">
        <v>927</v>
      </c>
      <c r="C52" s="613"/>
      <c r="D52" s="613"/>
      <c r="E52" s="613"/>
      <c r="F52" s="613"/>
      <c r="G52" s="613"/>
      <c r="H52" s="613"/>
      <c r="I52" s="613"/>
      <c r="J52" s="613"/>
      <c r="K52" s="613"/>
      <c r="L52" s="613"/>
      <c r="M52" s="613"/>
      <c r="N52" s="613"/>
      <c r="O52" s="613"/>
      <c r="P52" s="613"/>
      <c r="Q52" s="468"/>
      <c r="R52" s="468"/>
    </row>
    <row r="53" spans="2:18" ht="15" customHeight="1">
      <c r="B53" s="613" t="s">
        <v>1072</v>
      </c>
      <c r="C53" s="613"/>
      <c r="D53" s="613"/>
      <c r="E53" s="613"/>
      <c r="F53" s="613"/>
      <c r="G53" s="613"/>
      <c r="H53" s="613"/>
      <c r="I53" s="613"/>
      <c r="J53" s="613"/>
      <c r="K53" s="613"/>
      <c r="L53" s="613"/>
      <c r="M53" s="613"/>
      <c r="N53" s="613"/>
      <c r="O53" s="613"/>
      <c r="P53" s="613"/>
      <c r="Q53" s="613"/>
      <c r="R53" s="510"/>
    </row>
    <row r="54" spans="2:18" ht="26.25" customHeight="1">
      <c r="B54" s="613"/>
      <c r="C54" s="613"/>
      <c r="D54" s="613"/>
      <c r="E54" s="613"/>
      <c r="F54" s="613"/>
      <c r="G54" s="613"/>
      <c r="H54" s="613"/>
      <c r="I54" s="613"/>
      <c r="J54" s="613"/>
      <c r="K54" s="613"/>
      <c r="L54" s="613"/>
      <c r="M54" s="613"/>
      <c r="N54" s="613"/>
      <c r="O54" s="613"/>
      <c r="P54" s="613"/>
      <c r="Q54" s="613"/>
      <c r="R54" s="510"/>
    </row>
    <row r="55" spans="2:18" ht="23.25" customHeight="1">
      <c r="B55" s="621"/>
      <c r="C55" s="613"/>
      <c r="D55" s="613"/>
      <c r="E55" s="613"/>
      <c r="F55" s="613"/>
      <c r="G55" s="613"/>
      <c r="H55" s="613"/>
      <c r="I55" s="613"/>
      <c r="J55" s="613"/>
      <c r="K55" s="613"/>
      <c r="L55" s="613"/>
      <c r="M55" s="613"/>
      <c r="N55" s="613"/>
      <c r="O55" s="613"/>
      <c r="P55" s="613"/>
      <c r="Q55" s="468"/>
      <c r="R55" s="468"/>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sheetData>
  <mergeCells count="6">
    <mergeCell ref="B55:P55"/>
    <mergeCell ref="B2:R2"/>
    <mergeCell ref="B3:R3"/>
    <mergeCell ref="B52:P52"/>
    <mergeCell ref="B53:Q53"/>
    <mergeCell ref="B54:Q54"/>
  </mergeCells>
  <conditionalFormatting sqref="B12:R50">
    <cfRule type="expression" dxfId="19" priority="1">
      <formula>MOD(ROW(),2)=0</formula>
    </cfRule>
  </conditionalFormatting>
  <conditionalFormatting sqref="D11:R11">
    <cfRule type="expression" dxfId="18" priority="2">
      <formula>MOD(ROW(),2)=0</formula>
    </cfRule>
  </conditionalFormatting>
  <pageMargins left="0.7" right="0.7" top="0.75" bottom="0.75" header="0.3" footer="0.3"/>
  <pageSetup scale="1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54A8-FDB6-4313-8375-F20100C24A69}">
  <sheetPr codeName="Sheet22">
    <pageSetUpPr fitToPage="1"/>
  </sheetPr>
  <dimension ref="A2:AH77"/>
  <sheetViews>
    <sheetView zoomScaleNormal="100" workbookViewId="0">
      <pane xSplit="3" ySplit="4" topLeftCell="D29"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8" style="451" customWidth="1"/>
    <col min="3" max="3" width="20.5703125" style="451" hidden="1" customWidth="1" outlineLevel="1"/>
    <col min="4" max="4" width="8.140625" style="452" customWidth="1" collapsed="1"/>
    <col min="5" max="18" width="8.140625" style="452" customWidth="1"/>
    <col min="19" max="34" width="9.140625" style="496"/>
    <col min="35" max="16384" width="9.140625" style="451"/>
  </cols>
  <sheetData>
    <row r="2" spans="2:18">
      <c r="B2" s="616" t="str">
        <f>"Table A19. Low-Income Developing Countries: General Government Revenue, "&amp;D4&amp;"–"&amp;RIGHT(R4,2)</f>
        <v>Table A19. Low-Income Developing Countries: General Government Revenue, 2014–28</v>
      </c>
      <c r="C2" s="616"/>
      <c r="D2" s="616"/>
      <c r="E2" s="616"/>
      <c r="F2" s="616"/>
      <c r="G2" s="616"/>
      <c r="H2" s="616"/>
      <c r="I2" s="616"/>
      <c r="J2" s="616"/>
      <c r="K2" s="616"/>
      <c r="L2" s="616"/>
      <c r="M2" s="616"/>
      <c r="N2" s="616"/>
      <c r="O2" s="616"/>
      <c r="P2" s="616"/>
      <c r="Q2" s="616"/>
      <c r="R2" s="616"/>
    </row>
    <row r="3" spans="2:18">
      <c r="B3" s="619" t="s">
        <v>81</v>
      </c>
      <c r="C3" s="620"/>
      <c r="D3" s="620"/>
      <c r="E3" s="620"/>
      <c r="F3" s="620"/>
      <c r="G3" s="620"/>
      <c r="H3" s="620"/>
      <c r="I3" s="620"/>
      <c r="J3" s="620"/>
      <c r="K3" s="620"/>
      <c r="L3" s="620"/>
      <c r="M3" s="620"/>
      <c r="N3" s="620"/>
      <c r="O3" s="620"/>
      <c r="P3" s="620"/>
      <c r="Q3" s="620"/>
      <c r="R3" s="620"/>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ht="14.1" customHeight="1">
      <c r="B5" s="459" t="s">
        <v>196</v>
      </c>
      <c r="C5" s="491" t="s">
        <v>125</v>
      </c>
      <c r="D5" s="461">
        <v>15.659255159084275</v>
      </c>
      <c r="E5" s="461">
        <v>14.208070961543132</v>
      </c>
      <c r="F5" s="461">
        <v>13.747503800635823</v>
      </c>
      <c r="G5" s="461">
        <v>14.183410418209855</v>
      </c>
      <c r="H5" s="461">
        <v>14.781409375352014</v>
      </c>
      <c r="I5" s="461">
        <v>14.49081166200202</v>
      </c>
      <c r="J5" s="461">
        <v>13.767217028578223</v>
      </c>
      <c r="K5" s="461">
        <v>14.325207532929317</v>
      </c>
      <c r="L5" s="461">
        <v>14.706551090074026</v>
      </c>
      <c r="M5" s="461">
        <v>14.898130478859452</v>
      </c>
      <c r="N5" s="461">
        <v>15.042408308547593</v>
      </c>
      <c r="O5" s="461">
        <v>15.155910571370532</v>
      </c>
      <c r="P5" s="461">
        <v>15.269671165521565</v>
      </c>
      <c r="Q5" s="461">
        <v>15.237414172531153</v>
      </c>
      <c r="R5" s="461">
        <v>15.192459491556662</v>
      </c>
    </row>
    <row r="6" spans="2:18" ht="14.1" customHeight="1">
      <c r="B6" s="462" t="s">
        <v>129</v>
      </c>
      <c r="C6" s="491" t="s">
        <v>1033</v>
      </c>
      <c r="D6" s="461">
        <v>12.824552142058165</v>
      </c>
      <c r="E6" s="461">
        <v>8.1513812846051206</v>
      </c>
      <c r="F6" s="461">
        <v>6.0953247588746846</v>
      </c>
      <c r="G6" s="461">
        <v>7.1601855310321501</v>
      </c>
      <c r="H6" s="461">
        <v>9.2103308897076257</v>
      </c>
      <c r="I6" s="461">
        <v>8.580744088027652</v>
      </c>
      <c r="J6" s="461">
        <v>7.3517650370422549</v>
      </c>
      <c r="K6" s="461">
        <v>8.1489599192278668</v>
      </c>
      <c r="L6" s="461">
        <v>9.8265073116774015</v>
      </c>
      <c r="M6" s="461">
        <v>9.8549768357615743</v>
      </c>
      <c r="N6" s="461">
        <v>9.4197584982730316</v>
      </c>
      <c r="O6" s="461">
        <v>9.1410994740084419</v>
      </c>
      <c r="P6" s="461">
        <v>8.8058004233756204</v>
      </c>
      <c r="Q6" s="461">
        <v>8.5146812206589271</v>
      </c>
      <c r="R6" s="461">
        <v>8.2830036221297298</v>
      </c>
    </row>
    <row r="7" spans="2:18" ht="14.1" customHeight="1">
      <c r="B7" s="462" t="s">
        <v>108</v>
      </c>
      <c r="C7" s="491" t="s">
        <v>1034</v>
      </c>
      <c r="D7" s="461">
        <v>15.760648391983183</v>
      </c>
      <c r="E7" s="461">
        <v>15.453148649150238</v>
      </c>
      <c r="F7" s="461">
        <v>14.987599048559552</v>
      </c>
      <c r="G7" s="461">
        <v>14.883506850350432</v>
      </c>
      <c r="H7" s="461">
        <v>15.339845417318042</v>
      </c>
      <c r="I7" s="461">
        <v>14.874501843568677</v>
      </c>
      <c r="J7" s="461">
        <v>14.324392534325654</v>
      </c>
      <c r="K7" s="461">
        <v>14.395259295405287</v>
      </c>
      <c r="L7" s="461">
        <v>14.072611219154378</v>
      </c>
      <c r="M7" s="461">
        <v>14.487090311576951</v>
      </c>
      <c r="N7" s="461">
        <v>14.799913514909953</v>
      </c>
      <c r="O7" s="461">
        <v>15.106139600977675</v>
      </c>
      <c r="P7" s="461">
        <v>15.431503090318992</v>
      </c>
      <c r="Q7" s="461">
        <v>15.510676003476773</v>
      </c>
      <c r="R7" s="461">
        <v>15.579017188110154</v>
      </c>
    </row>
    <row r="8" spans="2:18" ht="14.1" customHeight="1">
      <c r="B8" s="462" t="s">
        <v>117</v>
      </c>
      <c r="C8" s="491" t="s">
        <v>1035</v>
      </c>
      <c r="D8" s="461">
        <v>19.936044652854221</v>
      </c>
      <c r="E8" s="461">
        <v>20.594421200906115</v>
      </c>
      <c r="F8" s="461">
        <v>21.762314577667791</v>
      </c>
      <c r="G8" s="461">
        <v>21.408838056408072</v>
      </c>
      <c r="H8" s="461">
        <v>20.944089702072144</v>
      </c>
      <c r="I8" s="461">
        <v>21.219412726600215</v>
      </c>
      <c r="J8" s="461">
        <v>19.701947444579744</v>
      </c>
      <c r="K8" s="461">
        <v>20.521661503491693</v>
      </c>
      <c r="L8" s="461">
        <v>20.382481542987595</v>
      </c>
      <c r="M8" s="461">
        <v>19.874538992572788</v>
      </c>
      <c r="N8" s="461">
        <v>20.355288113280452</v>
      </c>
      <c r="O8" s="461">
        <v>20.765194659210465</v>
      </c>
      <c r="P8" s="461">
        <v>20.959798319324207</v>
      </c>
      <c r="Q8" s="461">
        <v>21.060362180091939</v>
      </c>
      <c r="R8" s="461">
        <v>21.176353428762631</v>
      </c>
    </row>
    <row r="9" spans="2:18" ht="14.1" customHeight="1">
      <c r="B9" s="462" t="s">
        <v>1036</v>
      </c>
      <c r="C9" s="491" t="s">
        <v>1037</v>
      </c>
      <c r="D9" s="461">
        <v>14.28025611845559</v>
      </c>
      <c r="E9" s="461">
        <v>12.334405481298283</v>
      </c>
      <c r="F9" s="461">
        <v>11.737951243518831</v>
      </c>
      <c r="G9" s="461">
        <v>12.752066859663268</v>
      </c>
      <c r="H9" s="461">
        <v>13.253192301556806</v>
      </c>
      <c r="I9" s="461">
        <v>13.054179858966803</v>
      </c>
      <c r="J9" s="461">
        <v>12.283432530503433</v>
      </c>
      <c r="K9" s="461">
        <v>13.146473410732893</v>
      </c>
      <c r="L9" s="461">
        <v>13.74936436528397</v>
      </c>
      <c r="M9" s="461">
        <v>13.93884705060437</v>
      </c>
      <c r="N9" s="461">
        <v>13.897920846795209</v>
      </c>
      <c r="O9" s="461">
        <v>13.797923762421908</v>
      </c>
      <c r="P9" s="461">
        <v>13.735625931309915</v>
      </c>
      <c r="Q9" s="461">
        <v>13.592300359407952</v>
      </c>
      <c r="R9" s="461">
        <v>13.425181198239525</v>
      </c>
    </row>
    <row r="10" spans="2:18" ht="14.1" customHeight="1">
      <c r="B10" s="462" t="s">
        <v>232</v>
      </c>
      <c r="C10" s="491" t="s">
        <v>1038</v>
      </c>
      <c r="D10" s="461">
        <v>21.352354787024513</v>
      </c>
      <c r="E10" s="461">
        <v>18.087940997014311</v>
      </c>
      <c r="F10" s="461">
        <v>17.23601829433284</v>
      </c>
      <c r="G10" s="461">
        <v>17.210274367173035</v>
      </c>
      <c r="H10" s="461">
        <v>20.669946817713125</v>
      </c>
      <c r="I10" s="461">
        <v>20.335227285490856</v>
      </c>
      <c r="J10" s="461">
        <v>19.245118549679358</v>
      </c>
      <c r="K10" s="461">
        <v>20.549584255776914</v>
      </c>
      <c r="L10" s="461">
        <v>22.440073455635115</v>
      </c>
      <c r="M10" s="461">
        <v>21.545459048039238</v>
      </c>
      <c r="N10" s="461">
        <v>22.271118947664434</v>
      </c>
      <c r="O10" s="461">
        <v>22.957081221546751</v>
      </c>
      <c r="P10" s="461">
        <v>23.267076345576584</v>
      </c>
      <c r="Q10" s="461">
        <v>23.518220046074266</v>
      </c>
      <c r="R10" s="461">
        <v>23.662215497412795</v>
      </c>
    </row>
    <row r="11" spans="2:18" ht="16.5" customHeight="1">
      <c r="B11" s="451" t="s">
        <v>1039</v>
      </c>
      <c r="C11" s="451" t="s">
        <v>1039</v>
      </c>
      <c r="D11" s="465">
        <v>23.683652476462207</v>
      </c>
      <c r="E11" s="465">
        <v>24.569041479679179</v>
      </c>
      <c r="F11" s="465">
        <v>28.156233101463673</v>
      </c>
      <c r="G11" s="465">
        <v>27.058724563914417</v>
      </c>
      <c r="H11" s="465">
        <v>30.569830554713668</v>
      </c>
      <c r="I11" s="465">
        <v>26.940938515087389</v>
      </c>
      <c r="J11" s="465">
        <v>25.694221512102576</v>
      </c>
      <c r="K11" s="465" t="s">
        <v>1073</v>
      </c>
      <c r="L11" s="465" t="s">
        <v>1073</v>
      </c>
      <c r="M11" s="465" t="s">
        <v>145</v>
      </c>
      <c r="N11" s="465" t="s">
        <v>145</v>
      </c>
      <c r="O11" s="465" t="s">
        <v>145</v>
      </c>
      <c r="P11" s="465" t="s">
        <v>145</v>
      </c>
      <c r="Q11" s="465" t="s">
        <v>145</v>
      </c>
      <c r="R11" s="465" t="s">
        <v>145</v>
      </c>
    </row>
    <row r="12" spans="2:18" ht="13.5" customHeight="1">
      <c r="B12" s="464" t="s">
        <v>1040</v>
      </c>
      <c r="C12" s="464" t="s">
        <v>1040</v>
      </c>
      <c r="D12" s="465">
        <v>9.1290856111933536</v>
      </c>
      <c r="E12" s="465">
        <v>8.2133962534674385</v>
      </c>
      <c r="F12" s="465">
        <v>8.4380375468716231</v>
      </c>
      <c r="G12" s="465">
        <v>8.0681597781309868</v>
      </c>
      <c r="H12" s="465">
        <v>8.8818932511940538</v>
      </c>
      <c r="I12" s="465">
        <v>8.1439627463315727</v>
      </c>
      <c r="J12" s="465">
        <v>8.4677714639896227</v>
      </c>
      <c r="K12" s="465">
        <v>9.3618797183765565</v>
      </c>
      <c r="L12" s="465">
        <v>8.7379897013794832</v>
      </c>
      <c r="M12" s="465">
        <v>8.8465596390559842</v>
      </c>
      <c r="N12" s="465">
        <v>9.330382348909616</v>
      </c>
      <c r="O12" s="465">
        <v>9.7322761221759784</v>
      </c>
      <c r="P12" s="465">
        <v>10.258715118190894</v>
      </c>
      <c r="Q12" s="465">
        <v>10.199316804514554</v>
      </c>
      <c r="R12" s="465">
        <v>10.195154773010904</v>
      </c>
    </row>
    <row r="13" spans="2:18" ht="13.5" customHeight="1">
      <c r="B13" s="464" t="s">
        <v>1041</v>
      </c>
      <c r="C13" s="464" t="s">
        <v>1041</v>
      </c>
      <c r="D13" s="465">
        <v>12.574012129004011</v>
      </c>
      <c r="E13" s="465">
        <v>12.59972708781202</v>
      </c>
      <c r="F13" s="465">
        <v>11.1391557572842</v>
      </c>
      <c r="G13" s="465">
        <v>13.581227049220136</v>
      </c>
      <c r="H13" s="465">
        <v>13.591071810327634</v>
      </c>
      <c r="I13" s="465">
        <v>14.06153341419753</v>
      </c>
      <c r="J13" s="465">
        <v>14.389201622895841</v>
      </c>
      <c r="K13" s="465">
        <v>14.146135189221104</v>
      </c>
      <c r="L13" s="465">
        <v>13.924988251082191</v>
      </c>
      <c r="M13" s="465">
        <v>14.440865490362578</v>
      </c>
      <c r="N13" s="465">
        <v>15.126294979282125</v>
      </c>
      <c r="O13" s="465">
        <v>15.590649594057538</v>
      </c>
      <c r="P13" s="465">
        <v>15.916376925181227</v>
      </c>
      <c r="Q13" s="465">
        <v>16.316376925181235</v>
      </c>
      <c r="R13" s="465">
        <v>16.849738828525901</v>
      </c>
    </row>
    <row r="14" spans="2:18" ht="13.5" customHeight="1">
      <c r="B14" s="464" t="s">
        <v>1042</v>
      </c>
      <c r="C14" s="464" t="s">
        <v>1042</v>
      </c>
      <c r="D14" s="465">
        <v>19.190307716134289</v>
      </c>
      <c r="E14" s="465">
        <v>18.269025375795302</v>
      </c>
      <c r="F14" s="465">
        <v>18.568216009535771</v>
      </c>
      <c r="G14" s="465">
        <v>19.232132211011375</v>
      </c>
      <c r="H14" s="465">
        <v>19.781950651079981</v>
      </c>
      <c r="I14" s="465">
        <v>19.85341532495994</v>
      </c>
      <c r="J14" s="465">
        <v>19.136570374014205</v>
      </c>
      <c r="K14" s="465">
        <v>20.318251384628152</v>
      </c>
      <c r="L14" s="465">
        <v>20.953029757972207</v>
      </c>
      <c r="M14" s="465">
        <v>20.601081701863823</v>
      </c>
      <c r="N14" s="465">
        <v>20.595304302595235</v>
      </c>
      <c r="O14" s="465">
        <v>20.537628551793098</v>
      </c>
      <c r="P14" s="465">
        <v>20.532735013333379</v>
      </c>
      <c r="Q14" s="465">
        <v>20.69152668742063</v>
      </c>
      <c r="R14" s="465">
        <v>21.256086140974237</v>
      </c>
    </row>
    <row r="15" spans="2:18" ht="13.5" customHeight="1">
      <c r="B15" s="464" t="s">
        <v>1043</v>
      </c>
      <c r="C15" s="464" t="s">
        <v>1043</v>
      </c>
      <c r="D15" s="465">
        <v>20.075716187919184</v>
      </c>
      <c r="E15" s="465">
        <v>19.625648074568019</v>
      </c>
      <c r="F15" s="465">
        <v>20.818483837937148</v>
      </c>
      <c r="G15" s="465">
        <v>21.581474627250525</v>
      </c>
      <c r="H15" s="465">
        <v>23.707151501100526</v>
      </c>
      <c r="I15" s="465">
        <v>26.779755060216864</v>
      </c>
      <c r="J15" s="465">
        <v>23.924922077064277</v>
      </c>
      <c r="K15" s="465">
        <v>21.575348552236552</v>
      </c>
      <c r="L15" s="465">
        <v>22.141341963792605</v>
      </c>
      <c r="M15" s="465">
        <v>22.025999620810826</v>
      </c>
      <c r="N15" s="465">
        <v>22.954767618418433</v>
      </c>
      <c r="O15" s="465">
        <v>23.431598616829994</v>
      </c>
      <c r="P15" s="465">
        <v>23.539872151744316</v>
      </c>
      <c r="Q15" s="465">
        <v>23.544091874411023</v>
      </c>
      <c r="R15" s="465">
        <v>23.568819043893331</v>
      </c>
    </row>
    <row r="16" spans="2:18" ht="13.5" customHeight="1">
      <c r="B16" s="464" t="s">
        <v>1044</v>
      </c>
      <c r="C16" s="464" t="s">
        <v>1044</v>
      </c>
      <c r="D16" s="465">
        <v>15.974798647751159</v>
      </c>
      <c r="E16" s="465">
        <v>15.823150073846657</v>
      </c>
      <c r="F16" s="465">
        <v>14.303249044866783</v>
      </c>
      <c r="G16" s="465">
        <v>14.502703013449111</v>
      </c>
      <c r="H16" s="465">
        <v>15.544576913394383</v>
      </c>
      <c r="I16" s="465">
        <v>15.421337320681225</v>
      </c>
      <c r="J16" s="465">
        <v>13.392066546850165</v>
      </c>
      <c r="K16" s="465">
        <v>13.956394165891133</v>
      </c>
      <c r="L16" s="465">
        <v>16.118533081168163</v>
      </c>
      <c r="M16" s="465">
        <v>15.470647627926409</v>
      </c>
      <c r="N16" s="465">
        <v>15.322989277205243</v>
      </c>
      <c r="O16" s="465">
        <v>15.207509593863103</v>
      </c>
      <c r="P16" s="465">
        <v>15.216475456297998</v>
      </c>
      <c r="Q16" s="465">
        <v>15.353814582815353</v>
      </c>
      <c r="R16" s="465">
        <v>15.370055830895035</v>
      </c>
    </row>
    <row r="17" spans="2:33" ht="13.5" customHeight="1">
      <c r="B17" s="464" t="s">
        <v>241</v>
      </c>
      <c r="C17" s="464" t="s">
        <v>241</v>
      </c>
      <c r="D17" s="465">
        <v>17.795538333665146</v>
      </c>
      <c r="E17" s="465">
        <v>13.960092388015626</v>
      </c>
      <c r="F17" s="465">
        <v>12.429408176495699</v>
      </c>
      <c r="G17" s="465">
        <v>14.648635563230316</v>
      </c>
      <c r="H17" s="465">
        <v>15.277271316619673</v>
      </c>
      <c r="I17" s="465">
        <v>14.173613866601031</v>
      </c>
      <c r="J17" s="465">
        <v>21.095592074851417</v>
      </c>
      <c r="K17" s="465">
        <v>16.81384312610005</v>
      </c>
      <c r="L17" s="465">
        <v>21.738268580092253</v>
      </c>
      <c r="M17" s="465">
        <v>24.676643737286447</v>
      </c>
      <c r="N17" s="465">
        <v>21.207078089251208</v>
      </c>
      <c r="O17" s="465">
        <v>21.001411613758449</v>
      </c>
      <c r="P17" s="465">
        <v>21.59172983898009</v>
      </c>
      <c r="Q17" s="465">
        <v>19.909014822030329</v>
      </c>
      <c r="R17" s="465">
        <v>19.787325520642142</v>
      </c>
    </row>
    <row r="18" spans="2:33" ht="13.5" customHeight="1">
      <c r="B18" s="464" t="s">
        <v>1045</v>
      </c>
      <c r="C18" s="464" t="s">
        <v>1045</v>
      </c>
      <c r="D18" s="465">
        <v>17.295591633129835</v>
      </c>
      <c r="E18" s="465">
        <v>15.887346479864551</v>
      </c>
      <c r="F18" s="465">
        <v>13.450978481420881</v>
      </c>
      <c r="G18" s="465">
        <v>11.302109794331324</v>
      </c>
      <c r="H18" s="465">
        <v>10.878250062188496</v>
      </c>
      <c r="I18" s="465">
        <v>10.731662432148653</v>
      </c>
      <c r="J18" s="465">
        <v>8.9508636950429352</v>
      </c>
      <c r="K18" s="465">
        <v>13.767726644417271</v>
      </c>
      <c r="L18" s="465">
        <v>17.186388145445459</v>
      </c>
      <c r="M18" s="465">
        <v>16.764214329878811</v>
      </c>
      <c r="N18" s="465">
        <v>16.508802795661577</v>
      </c>
      <c r="O18" s="465">
        <v>16.453176665694926</v>
      </c>
      <c r="P18" s="465">
        <v>16.896019132076717</v>
      </c>
      <c r="Q18" s="465">
        <v>16.814464389962833</v>
      </c>
      <c r="R18" s="465">
        <v>15.941408477543961</v>
      </c>
      <c r="T18" s="499"/>
      <c r="U18" s="499"/>
      <c r="V18" s="499"/>
      <c r="W18" s="499"/>
      <c r="X18" s="499"/>
      <c r="Y18" s="499"/>
      <c r="Z18" s="499"/>
      <c r="AA18" s="499"/>
      <c r="AB18" s="499"/>
      <c r="AC18" s="499"/>
      <c r="AD18" s="499"/>
      <c r="AE18" s="499"/>
      <c r="AF18" s="499"/>
      <c r="AG18" s="499"/>
    </row>
    <row r="19" spans="2:33" ht="13.5" customHeight="1">
      <c r="B19" s="464" t="s">
        <v>1046</v>
      </c>
      <c r="C19" s="464" t="s">
        <v>1046</v>
      </c>
      <c r="D19" s="465">
        <v>37.830126409059595</v>
      </c>
      <c r="E19" s="465">
        <v>23.483034597280145</v>
      </c>
      <c r="F19" s="465">
        <v>25.954876831580947</v>
      </c>
      <c r="G19" s="465">
        <v>22.430595637765187</v>
      </c>
      <c r="H19" s="465">
        <v>24.866408724681786</v>
      </c>
      <c r="I19" s="465">
        <v>26.47803214407411</v>
      </c>
      <c r="J19" s="465">
        <v>21.876009199781887</v>
      </c>
      <c r="K19" s="465">
        <v>24.901547995848773</v>
      </c>
      <c r="L19" s="465">
        <v>31.341286702792704</v>
      </c>
      <c r="M19" s="465">
        <v>29.87808344488127</v>
      </c>
      <c r="N19" s="465">
        <v>29.32421993094146</v>
      </c>
      <c r="O19" s="465">
        <v>28.349235392902873</v>
      </c>
      <c r="P19" s="465">
        <v>27.909365301389698</v>
      </c>
      <c r="Q19" s="465">
        <v>28.315052808286183</v>
      </c>
      <c r="R19" s="465">
        <v>28.077762769188453</v>
      </c>
    </row>
    <row r="20" spans="2:33" ht="13.5" customHeight="1">
      <c r="B20" s="464" t="s">
        <v>239</v>
      </c>
      <c r="C20" s="464" t="s">
        <v>239</v>
      </c>
      <c r="D20" s="465">
        <v>13.645379892317708</v>
      </c>
      <c r="E20" s="465">
        <v>14.460456227838344</v>
      </c>
      <c r="F20" s="465">
        <v>14.602188645402606</v>
      </c>
      <c r="G20" s="465">
        <v>14.834974328584021</v>
      </c>
      <c r="H20" s="465">
        <v>14.655911714251477</v>
      </c>
      <c r="I20" s="465">
        <v>14.698671290435646</v>
      </c>
      <c r="J20" s="465">
        <v>14.590057065734305</v>
      </c>
      <c r="K20" s="465">
        <v>15.520032318800148</v>
      </c>
      <c r="L20" s="465">
        <v>14.719739349490906</v>
      </c>
      <c r="M20" s="465">
        <v>15.826105032445026</v>
      </c>
      <c r="N20" s="465">
        <v>16.169993422526783</v>
      </c>
      <c r="O20" s="465">
        <v>16.60321315488434</v>
      </c>
      <c r="P20" s="465">
        <v>17.15957570158573</v>
      </c>
      <c r="Q20" s="465">
        <v>17.241164113917549</v>
      </c>
      <c r="R20" s="465">
        <v>17.162492227286918</v>
      </c>
    </row>
    <row r="21" spans="2:33" ht="13.5" customHeight="1">
      <c r="B21" s="464" t="s">
        <v>1048</v>
      </c>
      <c r="C21" s="464" t="s">
        <v>1048</v>
      </c>
      <c r="D21" s="465">
        <v>14.901415683791194</v>
      </c>
      <c r="E21" s="465">
        <v>15.378667648169886</v>
      </c>
      <c r="F21" s="465">
        <v>15.612514465057759</v>
      </c>
      <c r="G21" s="465">
        <v>14.743350275126616</v>
      </c>
      <c r="H21" s="465">
        <v>13.07028981242318</v>
      </c>
      <c r="I21" s="465">
        <v>12.819356194759743</v>
      </c>
      <c r="J21" s="465">
        <v>11.704948365339234</v>
      </c>
      <c r="K21" s="465">
        <v>11.030763082444658</v>
      </c>
      <c r="L21" s="465">
        <v>8.5380852682052062</v>
      </c>
      <c r="M21" s="465">
        <v>8.8559716679062017</v>
      </c>
      <c r="N21" s="465">
        <v>9.4242436430535665</v>
      </c>
      <c r="O21" s="465">
        <v>9.7356572327298512</v>
      </c>
      <c r="P21" s="465">
        <v>10.019329055324166</v>
      </c>
      <c r="Q21" s="465">
        <v>10.204018632145296</v>
      </c>
      <c r="R21" s="465">
        <v>10.373385513966928</v>
      </c>
    </row>
    <row r="22" spans="2:33" ht="13.5" customHeight="1">
      <c r="B22" s="464" t="s">
        <v>1049</v>
      </c>
      <c r="C22" s="464" t="s">
        <v>1049</v>
      </c>
      <c r="D22" s="465">
        <v>13.154340540772766</v>
      </c>
      <c r="E22" s="465">
        <v>14.615953417473863</v>
      </c>
      <c r="F22" s="465">
        <v>13.144770780286288</v>
      </c>
      <c r="G22" s="465">
        <v>13.615891880421232</v>
      </c>
      <c r="H22" s="465">
        <v>14.103995467946264</v>
      </c>
      <c r="I22" s="465">
        <v>14.971383708788164</v>
      </c>
      <c r="J22" s="465">
        <v>14.067997971596755</v>
      </c>
      <c r="K22" s="465">
        <v>15.267219780864295</v>
      </c>
      <c r="L22" s="465">
        <v>15.629667356067525</v>
      </c>
      <c r="M22" s="465">
        <v>17.217980663217268</v>
      </c>
      <c r="N22" s="465">
        <v>17.931153910725847</v>
      </c>
      <c r="O22" s="465">
        <v>18.441360091250953</v>
      </c>
      <c r="P22" s="465">
        <v>18.749921529449207</v>
      </c>
      <c r="Q22" s="465">
        <v>18.70091101073287</v>
      </c>
      <c r="R22" s="465">
        <v>18.700911010732867</v>
      </c>
    </row>
    <row r="23" spans="2:33" ht="13.5" customHeight="1">
      <c r="B23" s="464" t="s">
        <v>1050</v>
      </c>
      <c r="C23" s="464" t="s">
        <v>1050</v>
      </c>
      <c r="D23" s="465">
        <v>17.049808213764265</v>
      </c>
      <c r="E23" s="465">
        <v>15.150966378866478</v>
      </c>
      <c r="F23" s="465">
        <v>15.988838091569679</v>
      </c>
      <c r="G23" s="465">
        <v>15.284359424829006</v>
      </c>
      <c r="H23" s="465">
        <v>14.942081143235002</v>
      </c>
      <c r="I23" s="465">
        <v>14.714512410619761</v>
      </c>
      <c r="J23" s="465">
        <v>13.907073948418191</v>
      </c>
      <c r="K23" s="465">
        <v>13.603832202330359</v>
      </c>
      <c r="L23" s="465">
        <v>13.097425155972942</v>
      </c>
      <c r="M23" s="465">
        <v>13.241727482781446</v>
      </c>
      <c r="N23" s="465">
        <v>13.789072454588039</v>
      </c>
      <c r="O23" s="465">
        <v>14.519259374455601</v>
      </c>
      <c r="P23" s="465">
        <v>14.931501445204603</v>
      </c>
      <c r="Q23" s="465">
        <v>15.254871338135539</v>
      </c>
      <c r="R23" s="465">
        <v>15.23459829691447</v>
      </c>
    </row>
    <row r="24" spans="2:33" ht="13.5" customHeight="1">
      <c r="B24" s="464" t="s">
        <v>1051</v>
      </c>
      <c r="C24" s="464" t="s">
        <v>1051</v>
      </c>
      <c r="D24" s="465">
        <v>10.988386097051174</v>
      </c>
      <c r="E24" s="465">
        <v>11.275291030130811</v>
      </c>
      <c r="F24" s="465">
        <v>10.664629853207467</v>
      </c>
      <c r="G24" s="465">
        <v>9.920365605589808</v>
      </c>
      <c r="H24" s="465">
        <v>10.13617356057787</v>
      </c>
      <c r="I24" s="465">
        <v>8.0115936179478275</v>
      </c>
      <c r="J24" s="465">
        <v>7.4850031150263243</v>
      </c>
      <c r="K24" s="465">
        <v>8.230426007834474</v>
      </c>
      <c r="L24" s="465">
        <v>8.0107107291255257</v>
      </c>
      <c r="M24" s="465">
        <v>8.8197357759763246</v>
      </c>
      <c r="N24" s="465">
        <v>8.8996979238730312</v>
      </c>
      <c r="O24" s="465">
        <v>9.3150008104036708</v>
      </c>
      <c r="P24" s="465">
        <v>9.5982016114288591</v>
      </c>
      <c r="Q24" s="465">
        <v>9.7413324221769351</v>
      </c>
      <c r="R24" s="465">
        <v>9.8318700839414692</v>
      </c>
    </row>
    <row r="25" spans="2:33" ht="13.5" customHeight="1">
      <c r="B25" s="464" t="s">
        <v>1052</v>
      </c>
      <c r="C25" s="464" t="s">
        <v>1052</v>
      </c>
      <c r="D25" s="465">
        <v>24.741001297704599</v>
      </c>
      <c r="E25" s="465">
        <v>25.240786936311103</v>
      </c>
      <c r="F25" s="465">
        <v>26.985198207163265</v>
      </c>
      <c r="G25" s="465">
        <v>26.45014745926872</v>
      </c>
      <c r="H25" s="465">
        <v>26.353339161147982</v>
      </c>
      <c r="I25" s="465">
        <v>25.812765385405722</v>
      </c>
      <c r="J25" s="465">
        <v>23.351714840071665</v>
      </c>
      <c r="K25" s="465">
        <v>25.284758536022601</v>
      </c>
      <c r="L25" s="465">
        <v>25.112243563984538</v>
      </c>
      <c r="M25" s="465" t="s">
        <v>145</v>
      </c>
      <c r="N25" s="465" t="s">
        <v>145</v>
      </c>
      <c r="O25" s="465" t="s">
        <v>145</v>
      </c>
      <c r="P25" s="465" t="s">
        <v>145</v>
      </c>
      <c r="Q25" s="465" t="s">
        <v>145</v>
      </c>
      <c r="R25" s="465" t="s">
        <v>145</v>
      </c>
      <c r="S25" s="451"/>
      <c r="T25" s="451"/>
    </row>
    <row r="26" spans="2:33" ht="13.5" customHeight="1">
      <c r="B26" s="464" t="s">
        <v>126</v>
      </c>
      <c r="C26" s="464" t="s">
        <v>126</v>
      </c>
      <c r="D26" s="465">
        <v>17.671520730830757</v>
      </c>
      <c r="E26" s="465">
        <v>17.144517153291424</v>
      </c>
      <c r="F26" s="465">
        <v>17.891411511137637</v>
      </c>
      <c r="G26" s="465">
        <v>17.802458840601325</v>
      </c>
      <c r="H26" s="465">
        <v>17.543430891747558</v>
      </c>
      <c r="I26" s="465">
        <v>17.000185079777062</v>
      </c>
      <c r="J26" s="465">
        <v>16.666063499736751</v>
      </c>
      <c r="K26" s="465">
        <v>16.721159181229989</v>
      </c>
      <c r="L26" s="465">
        <v>17.44427877381731</v>
      </c>
      <c r="M26" s="465">
        <v>17.565834498378933</v>
      </c>
      <c r="N26" s="465">
        <v>17.925714202696348</v>
      </c>
      <c r="O26" s="465">
        <v>17.936683583974528</v>
      </c>
      <c r="P26" s="465">
        <v>17.966987710144064</v>
      </c>
      <c r="Q26" s="465">
        <v>18.144142062268916</v>
      </c>
      <c r="R26" s="465">
        <v>18.381158689782286</v>
      </c>
    </row>
    <row r="27" spans="2:33" ht="13.5" customHeight="1">
      <c r="B27" s="464" t="s">
        <v>1053</v>
      </c>
      <c r="C27" s="464" t="s">
        <v>1053</v>
      </c>
      <c r="D27" s="465">
        <v>35.439786969607731</v>
      </c>
      <c r="E27" s="465">
        <v>35.566892007097039</v>
      </c>
      <c r="F27" s="465">
        <v>33.132849580292032</v>
      </c>
      <c r="G27" s="465">
        <v>33.287217517851893</v>
      </c>
      <c r="H27" s="465">
        <v>32.46959529710621</v>
      </c>
      <c r="I27" s="465">
        <v>32.501371939271145</v>
      </c>
      <c r="J27" s="465">
        <v>30.836770161225868</v>
      </c>
      <c r="K27" s="465">
        <v>33.19533626788354</v>
      </c>
      <c r="L27" s="465">
        <v>38.526191303240999</v>
      </c>
      <c r="M27" s="465">
        <v>34.465778356556235</v>
      </c>
      <c r="N27" s="465">
        <v>34.618152363480696</v>
      </c>
      <c r="O27" s="465">
        <v>34.455055588446406</v>
      </c>
      <c r="P27" s="465">
        <v>34.383424133885264</v>
      </c>
      <c r="Q27" s="465">
        <v>34.259850640501817</v>
      </c>
      <c r="R27" s="465">
        <v>34.284464897443073</v>
      </c>
    </row>
    <row r="28" spans="2:33" ht="13.5" customHeight="1">
      <c r="B28" s="464" t="s">
        <v>1054</v>
      </c>
      <c r="C28" s="464" t="s">
        <v>1054</v>
      </c>
      <c r="D28" s="465">
        <v>21.854788132391381</v>
      </c>
      <c r="E28" s="465">
        <v>20.211913367151059</v>
      </c>
      <c r="F28" s="465">
        <v>16.024492068652187</v>
      </c>
      <c r="G28" s="465">
        <v>16.293801314270635</v>
      </c>
      <c r="H28" s="465">
        <v>16.244138727220005</v>
      </c>
      <c r="I28" s="465">
        <v>15.417870503802792</v>
      </c>
      <c r="J28" s="465">
        <v>12.990401902685672</v>
      </c>
      <c r="K28" s="465">
        <v>15.03564841126979</v>
      </c>
      <c r="L28" s="465">
        <v>14.897628832775641</v>
      </c>
      <c r="M28" s="465">
        <v>15.083501631342278</v>
      </c>
      <c r="N28" s="465">
        <v>15.107454869714745</v>
      </c>
      <c r="O28" s="465">
        <v>15.123048490090641</v>
      </c>
      <c r="P28" s="465">
        <v>15.069209305995049</v>
      </c>
      <c r="Q28" s="465">
        <v>15.012162880227512</v>
      </c>
      <c r="R28" s="465">
        <v>14.952072436708342</v>
      </c>
    </row>
    <row r="29" spans="2:33" ht="13.5" customHeight="1">
      <c r="B29" s="464" t="s">
        <v>1055</v>
      </c>
      <c r="C29" s="464" t="s">
        <v>1055</v>
      </c>
      <c r="D29" s="465">
        <v>10.594063082090381</v>
      </c>
      <c r="E29" s="465">
        <v>10.178884264712529</v>
      </c>
      <c r="F29" s="465">
        <v>12.438331163011288</v>
      </c>
      <c r="G29" s="465">
        <v>12.839490253069311</v>
      </c>
      <c r="H29" s="465">
        <v>13.013231402229538</v>
      </c>
      <c r="I29" s="465">
        <v>13.940744265350091</v>
      </c>
      <c r="J29" s="465">
        <v>12.398240309831149</v>
      </c>
      <c r="K29" s="465">
        <v>11.209344524838087</v>
      </c>
      <c r="L29" s="465">
        <v>13.569608918202347</v>
      </c>
      <c r="M29" s="465">
        <v>14.57326156201853</v>
      </c>
      <c r="N29" s="465">
        <v>15.265130786315565</v>
      </c>
      <c r="O29" s="465">
        <v>15.262831331563111</v>
      </c>
      <c r="P29" s="465">
        <v>15.089277873868623</v>
      </c>
      <c r="Q29" s="465">
        <v>14.761370811126337</v>
      </c>
      <c r="R29" s="465">
        <v>14.405704795523558</v>
      </c>
    </row>
    <row r="30" spans="2:33" ht="13.5" customHeight="1">
      <c r="B30" s="464" t="s">
        <v>1056</v>
      </c>
      <c r="C30" s="464" t="s">
        <v>1056</v>
      </c>
      <c r="D30" s="465">
        <v>15.191809318709613</v>
      </c>
      <c r="E30" s="465">
        <v>15.351674835594379</v>
      </c>
      <c r="F30" s="465">
        <v>14.8437650799875</v>
      </c>
      <c r="G30" s="465">
        <v>15.842325743416136</v>
      </c>
      <c r="H30" s="465">
        <v>15.035770893332199</v>
      </c>
      <c r="I30" s="465">
        <v>14.765006704804872</v>
      </c>
      <c r="J30" s="465">
        <v>14.546421139702797</v>
      </c>
      <c r="K30" s="465">
        <v>15.057419414205622</v>
      </c>
      <c r="L30" s="465">
        <v>14.030563468239801</v>
      </c>
      <c r="M30" s="465">
        <v>16.525390058768899</v>
      </c>
      <c r="N30" s="465">
        <v>17.478718023665767</v>
      </c>
      <c r="O30" s="465">
        <v>16.694057022466318</v>
      </c>
      <c r="P30" s="465">
        <v>16.913648107618183</v>
      </c>
      <c r="Q30" s="465">
        <v>16.597433583904817</v>
      </c>
      <c r="R30" s="465">
        <v>17.033255933846817</v>
      </c>
    </row>
    <row r="31" spans="2:33" ht="13.5" customHeight="1">
      <c r="B31" s="464" t="s">
        <v>240</v>
      </c>
      <c r="C31" s="464" t="s">
        <v>240</v>
      </c>
      <c r="D31" s="465">
        <v>17.131288160047308</v>
      </c>
      <c r="E31" s="465">
        <v>19.116879908241955</v>
      </c>
      <c r="F31" s="465">
        <v>18.313270454292788</v>
      </c>
      <c r="G31" s="465">
        <v>20.059441811881069</v>
      </c>
      <c r="H31" s="465">
        <v>15.56533377013861</v>
      </c>
      <c r="I31" s="465">
        <v>21.465350143327036</v>
      </c>
      <c r="J31" s="465">
        <v>20.516198425828151</v>
      </c>
      <c r="K31" s="465">
        <v>21.617208828126302</v>
      </c>
      <c r="L31" s="465">
        <v>19.912318745404807</v>
      </c>
      <c r="M31" s="465">
        <v>20.65140058050358</v>
      </c>
      <c r="N31" s="465">
        <v>21.021613965499004</v>
      </c>
      <c r="O31" s="465">
        <v>21.880859283482319</v>
      </c>
      <c r="P31" s="465">
        <v>22.15650438011345</v>
      </c>
      <c r="Q31" s="465">
        <v>22.388201024003685</v>
      </c>
      <c r="R31" s="465">
        <v>22.619025817116924</v>
      </c>
    </row>
    <row r="32" spans="2:33" ht="13.5" customHeight="1">
      <c r="B32" s="464" t="s">
        <v>1057</v>
      </c>
      <c r="C32" s="464" t="s">
        <v>1057</v>
      </c>
      <c r="D32" s="465">
        <v>31.806697763711639</v>
      </c>
      <c r="E32" s="465">
        <v>29.96165260160442</v>
      </c>
      <c r="F32" s="465">
        <v>28.571355085455359</v>
      </c>
      <c r="G32" s="465">
        <v>30.32794783111629</v>
      </c>
      <c r="H32" s="465">
        <v>30.675496749550611</v>
      </c>
      <c r="I32" s="465">
        <v>30.519901024666702</v>
      </c>
      <c r="J32" s="465">
        <v>31.369420893473333</v>
      </c>
      <c r="K32" s="465">
        <v>31.991662325747448</v>
      </c>
      <c r="L32" s="465">
        <v>33.519721749869021</v>
      </c>
      <c r="M32" s="465">
        <v>32.608920011121064</v>
      </c>
      <c r="N32" s="465">
        <v>31.442597125091659</v>
      </c>
      <c r="O32" s="465">
        <v>31.817040693991739</v>
      </c>
      <c r="P32" s="465">
        <v>32.068225635542021</v>
      </c>
      <c r="Q32" s="465">
        <v>32.034642624611195</v>
      </c>
      <c r="R32" s="465">
        <v>32.102959448964306</v>
      </c>
    </row>
    <row r="33" spans="2:18" ht="13.5" customHeight="1">
      <c r="B33" s="464" t="s">
        <v>1058</v>
      </c>
      <c r="C33" s="464" t="s">
        <v>1058</v>
      </c>
      <c r="D33" s="465">
        <v>30.423810560080085</v>
      </c>
      <c r="E33" s="465">
        <v>26.025358649021573</v>
      </c>
      <c r="F33" s="465">
        <v>23.921949796086366</v>
      </c>
      <c r="G33" s="465">
        <v>27.07278469363613</v>
      </c>
      <c r="H33" s="465">
        <v>25.760652765123098</v>
      </c>
      <c r="I33" s="465">
        <v>29.945392035599372</v>
      </c>
      <c r="J33" s="465">
        <v>27.495156451686842</v>
      </c>
      <c r="K33" s="465">
        <v>27.888997248323772</v>
      </c>
      <c r="L33" s="465">
        <v>29.15625415630775</v>
      </c>
      <c r="M33" s="465">
        <v>28.559520054154024</v>
      </c>
      <c r="N33" s="465">
        <v>27.812175005512689</v>
      </c>
      <c r="O33" s="465">
        <v>27.976303925432799</v>
      </c>
      <c r="P33" s="465">
        <v>28.630953955451201</v>
      </c>
      <c r="Q33" s="465">
        <v>27.3576526935205</v>
      </c>
      <c r="R33" s="465">
        <v>26.241372125077746</v>
      </c>
    </row>
    <row r="34" spans="2:18" ht="13.5" customHeight="1">
      <c r="B34" s="464" t="s">
        <v>1059</v>
      </c>
      <c r="C34" s="464" t="s">
        <v>1059</v>
      </c>
      <c r="D34" s="465">
        <v>22.461835216725454</v>
      </c>
      <c r="E34" s="465">
        <v>21.425003954144564</v>
      </c>
      <c r="F34" s="465">
        <v>19.564949442686157</v>
      </c>
      <c r="G34" s="465">
        <v>17.908742963567061</v>
      </c>
      <c r="H34" s="465">
        <v>17.629088022792921</v>
      </c>
      <c r="I34" s="465">
        <v>16.34942693457463</v>
      </c>
      <c r="J34" s="465">
        <v>16.037646796964538</v>
      </c>
      <c r="K34" s="465">
        <v>13.124712089553078</v>
      </c>
      <c r="L34" s="465">
        <v>13.246410982493748</v>
      </c>
      <c r="M34" s="465">
        <v>13.856410982493744</v>
      </c>
      <c r="N34" s="465">
        <v>14.166410982493716</v>
      </c>
      <c r="O34" s="465">
        <v>14.476410982493759</v>
      </c>
      <c r="P34" s="465">
        <v>14.786410982493726</v>
      </c>
      <c r="Q34" s="465">
        <v>15.046410982493761</v>
      </c>
      <c r="R34" s="465">
        <v>15.306410982493729</v>
      </c>
    </row>
    <row r="35" spans="2:18" ht="13.5" customHeight="1">
      <c r="B35" s="464" t="s">
        <v>242</v>
      </c>
      <c r="C35" s="464" t="s">
        <v>242</v>
      </c>
      <c r="D35" s="465">
        <v>17.930538254306146</v>
      </c>
      <c r="E35" s="465">
        <v>18.246976318032633</v>
      </c>
      <c r="F35" s="465">
        <v>20.129345241326956</v>
      </c>
      <c r="G35" s="465">
        <v>20.945708210087915</v>
      </c>
      <c r="H35" s="465">
        <v>22.165727438579442</v>
      </c>
      <c r="I35" s="465">
        <v>22.352323313911398</v>
      </c>
      <c r="J35" s="465">
        <v>22.244721574417763</v>
      </c>
      <c r="K35" s="465">
        <v>23.678263298959024</v>
      </c>
      <c r="L35" s="465">
        <v>23.476701898155373</v>
      </c>
      <c r="M35" s="465">
        <v>21.629747494883055</v>
      </c>
      <c r="N35" s="465">
        <v>22.889543638315153</v>
      </c>
      <c r="O35" s="465">
        <v>23.614006811863554</v>
      </c>
      <c r="P35" s="465">
        <v>24.779674593262072</v>
      </c>
      <c r="Q35" s="465">
        <v>25.539190891646268</v>
      </c>
      <c r="R35" s="465">
        <v>25.446720384716738</v>
      </c>
    </row>
    <row r="36" spans="2:18" ht="13.5" customHeight="1">
      <c r="B36" s="464" t="s">
        <v>1060</v>
      </c>
      <c r="C36" s="464" t="s">
        <v>1060</v>
      </c>
      <c r="D36" s="465">
        <v>23.346038606480857</v>
      </c>
      <c r="E36" s="465">
        <v>23.787753264816615</v>
      </c>
      <c r="F36" s="465">
        <v>24.915904952496206</v>
      </c>
      <c r="G36" s="465">
        <v>25.478500118518436</v>
      </c>
      <c r="H36" s="465">
        <v>24.601879422459781</v>
      </c>
      <c r="I36" s="465">
        <v>27.56762007516711</v>
      </c>
      <c r="J36" s="465">
        <v>26.923205243928056</v>
      </c>
      <c r="K36" s="465">
        <v>29.347662815178634</v>
      </c>
      <c r="L36" s="465">
        <v>27.03875888821625</v>
      </c>
      <c r="M36" s="465">
        <v>26.253810991654753</v>
      </c>
      <c r="N36" s="465">
        <v>26.351026281401019</v>
      </c>
      <c r="O36" s="465">
        <v>26.425038847510535</v>
      </c>
      <c r="P36" s="465">
        <v>26.552485899886314</v>
      </c>
      <c r="Q36" s="465">
        <v>26.423044132637063</v>
      </c>
      <c r="R36" s="465">
        <v>26.389490081910711</v>
      </c>
    </row>
    <row r="37" spans="2:18" ht="13.5" customHeight="1">
      <c r="B37" s="464" t="s">
        <v>1061</v>
      </c>
      <c r="C37" s="464" t="s">
        <v>1061</v>
      </c>
      <c r="D37" s="465">
        <v>17.514037164466085</v>
      </c>
      <c r="E37" s="465">
        <v>17.490990382345601</v>
      </c>
      <c r="F37" s="465">
        <v>14.898078684966883</v>
      </c>
      <c r="G37" s="465">
        <v>15.39257132211681</v>
      </c>
      <c r="H37" s="465">
        <v>18.150466463158018</v>
      </c>
      <c r="I37" s="465">
        <v>18.003605402779023</v>
      </c>
      <c r="J37" s="465">
        <v>17.549967022409376</v>
      </c>
      <c r="K37" s="465">
        <v>18.354658195446795</v>
      </c>
      <c r="L37" s="465">
        <v>15.031033611833108</v>
      </c>
      <c r="M37" s="465">
        <v>17.810321484924806</v>
      </c>
      <c r="N37" s="465">
        <v>19.351082638849444</v>
      </c>
      <c r="O37" s="465">
        <v>19.822787856645704</v>
      </c>
      <c r="P37" s="465">
        <v>19.85254884079783</v>
      </c>
      <c r="Q37" s="465">
        <v>20.056746622161917</v>
      </c>
      <c r="R37" s="465">
        <v>20.234222585028185</v>
      </c>
    </row>
    <row r="38" spans="2:18" ht="13.5" customHeight="1">
      <c r="B38" s="464" t="s">
        <v>127</v>
      </c>
      <c r="C38" s="464" t="s">
        <v>127</v>
      </c>
      <c r="D38" s="465">
        <v>10.936919879642911</v>
      </c>
      <c r="E38" s="465">
        <v>7.2509243476042071</v>
      </c>
      <c r="F38" s="465">
        <v>5.1168380663467277</v>
      </c>
      <c r="G38" s="465">
        <v>6.5756718946449286</v>
      </c>
      <c r="H38" s="465">
        <v>8.504721322002041</v>
      </c>
      <c r="I38" s="465">
        <v>7.8322126276356485</v>
      </c>
      <c r="J38" s="465">
        <v>6.5007881949148985</v>
      </c>
      <c r="K38" s="465">
        <v>7.3103890751864062</v>
      </c>
      <c r="L38" s="465">
        <v>8.7894084647638504</v>
      </c>
      <c r="M38" s="465">
        <v>8.9137006151316207</v>
      </c>
      <c r="N38" s="465">
        <v>8.4884970488695046</v>
      </c>
      <c r="O38" s="465">
        <v>8.1960097709003374</v>
      </c>
      <c r="P38" s="465">
        <v>7.9045228196279504</v>
      </c>
      <c r="Q38" s="465">
        <v>7.7271110062768047</v>
      </c>
      <c r="R38" s="465">
        <v>7.5607407915856069</v>
      </c>
    </row>
    <row r="39" spans="2:18" ht="13.5" customHeight="1">
      <c r="B39" s="464" t="s">
        <v>1062</v>
      </c>
      <c r="C39" s="464" t="s">
        <v>1062</v>
      </c>
      <c r="D39" s="465">
        <v>20.785405168843884</v>
      </c>
      <c r="E39" s="465">
        <v>18.296135309138535</v>
      </c>
      <c r="F39" s="465">
        <v>16.122106495089852</v>
      </c>
      <c r="G39" s="465">
        <v>15.891944849518769</v>
      </c>
      <c r="H39" s="465">
        <v>17.73925875368753</v>
      </c>
      <c r="I39" s="465">
        <v>16.31667286364857</v>
      </c>
      <c r="J39" s="465">
        <v>14.655757871456979</v>
      </c>
      <c r="K39" s="465">
        <v>15.00019810223815</v>
      </c>
      <c r="L39" s="465">
        <v>15.794812416179088</v>
      </c>
      <c r="M39" s="465">
        <v>17.050949800329324</v>
      </c>
      <c r="N39" s="465">
        <v>16.588223792922271</v>
      </c>
      <c r="O39" s="465">
        <v>17.005597600881092</v>
      </c>
      <c r="P39" s="465">
        <v>17.051395977088845</v>
      </c>
      <c r="Q39" s="465">
        <v>17.284974244045074</v>
      </c>
      <c r="R39" s="465">
        <v>17.51822029357238</v>
      </c>
    </row>
    <row r="40" spans="2:18" ht="13.5" customHeight="1">
      <c r="B40" s="464" t="s">
        <v>1063</v>
      </c>
      <c r="C40" s="464" t="s">
        <v>1063</v>
      </c>
      <c r="D40" s="465">
        <v>23.574023754779716</v>
      </c>
      <c r="E40" s="465">
        <v>23.922679814224342</v>
      </c>
      <c r="F40" s="465">
        <v>22.875777516634319</v>
      </c>
      <c r="G40" s="465">
        <v>22.575288317921625</v>
      </c>
      <c r="H40" s="465">
        <v>23.79111515231109</v>
      </c>
      <c r="I40" s="465">
        <v>23.108213455829183</v>
      </c>
      <c r="J40" s="465">
        <v>23.89221616571302</v>
      </c>
      <c r="K40" s="465">
        <v>24.561059789713358</v>
      </c>
      <c r="L40" s="465">
        <v>25.216239301660075</v>
      </c>
      <c r="M40" s="465">
        <v>23.212487600785821</v>
      </c>
      <c r="N40" s="465">
        <v>23.71843766017296</v>
      </c>
      <c r="O40" s="465">
        <v>23.683845260549973</v>
      </c>
      <c r="P40" s="465">
        <v>24.016540716407565</v>
      </c>
      <c r="Q40" s="465">
        <v>24.184310496785216</v>
      </c>
      <c r="R40" s="465">
        <v>23.954991612350454</v>
      </c>
    </row>
    <row r="41" spans="2:18" ht="13.5" customHeight="1">
      <c r="B41" s="464" t="s">
        <v>237</v>
      </c>
      <c r="C41" s="464" t="s">
        <v>237</v>
      </c>
      <c r="D41" s="465">
        <v>19.203591489609405</v>
      </c>
      <c r="E41" s="465">
        <v>19.283508203794018</v>
      </c>
      <c r="F41" s="465">
        <v>20.690987488447625</v>
      </c>
      <c r="G41" s="465">
        <v>19.494990067439613</v>
      </c>
      <c r="H41" s="465">
        <v>18.889664364588565</v>
      </c>
      <c r="I41" s="465">
        <v>20.339180397134356</v>
      </c>
      <c r="J41" s="465">
        <v>20.159125600886462</v>
      </c>
      <c r="K41" s="465">
        <v>19.442363680077094</v>
      </c>
      <c r="L41" s="465">
        <v>20.744106622688644</v>
      </c>
      <c r="M41" s="465">
        <v>21.260031860509031</v>
      </c>
      <c r="N41" s="465">
        <v>22.289103781525295</v>
      </c>
      <c r="O41" s="465">
        <v>23.392415763882187</v>
      </c>
      <c r="P41" s="465">
        <v>23.505343236674882</v>
      </c>
      <c r="Q41" s="465">
        <v>23.752472348030331</v>
      </c>
      <c r="R41" s="465">
        <v>24.391502225502414</v>
      </c>
    </row>
    <row r="42" spans="2:18" ht="13.5" customHeight="1">
      <c r="B42" s="464" t="s">
        <v>1064</v>
      </c>
      <c r="C42" s="464" t="s">
        <v>1064</v>
      </c>
      <c r="D42" s="465">
        <v>8.7919614747240242</v>
      </c>
      <c r="E42" s="465">
        <v>8.5090428812580576</v>
      </c>
      <c r="F42" s="465">
        <v>6.0578812926970755</v>
      </c>
      <c r="G42" s="465">
        <v>6.7430085391256309</v>
      </c>
      <c r="H42" s="465">
        <v>8.9142197835772876</v>
      </c>
      <c r="I42" s="465">
        <v>7.8452793031606936</v>
      </c>
      <c r="J42" s="465">
        <v>4.8190774169893498</v>
      </c>
      <c r="K42" s="465">
        <v>9.4739802717458232</v>
      </c>
      <c r="L42" s="465">
        <v>10.064855304507541</v>
      </c>
      <c r="M42" s="465">
        <v>10.140837986360415</v>
      </c>
      <c r="N42" s="465">
        <v>10.372712622982952</v>
      </c>
      <c r="O42" s="465">
        <v>10.455262408531125</v>
      </c>
      <c r="P42" s="465">
        <v>10.664943678831946</v>
      </c>
      <c r="Q42" s="465">
        <v>10.644406244796283</v>
      </c>
      <c r="R42" s="465">
        <v>10.661479737719711</v>
      </c>
    </row>
    <row r="43" spans="2:18" ht="13.5" customHeight="1">
      <c r="B43" s="464" t="s">
        <v>1065</v>
      </c>
      <c r="C43" s="464" t="s">
        <v>1065</v>
      </c>
      <c r="D43" s="465">
        <v>28.394632098971169</v>
      </c>
      <c r="E43" s="465">
        <v>29.94427395995174</v>
      </c>
      <c r="F43" s="465">
        <v>29.739924340823105</v>
      </c>
      <c r="G43" s="465">
        <v>28.128615818511964</v>
      </c>
      <c r="H43" s="465">
        <v>28.181419408549491</v>
      </c>
      <c r="I43" s="465">
        <v>26.772701841124615</v>
      </c>
      <c r="J43" s="465">
        <v>24.824259471666291</v>
      </c>
      <c r="K43" s="465">
        <v>26.975819246068962</v>
      </c>
      <c r="L43" s="465">
        <v>27.520317502363582</v>
      </c>
      <c r="M43" s="465">
        <v>28.246021700149559</v>
      </c>
      <c r="N43" s="465">
        <v>26.196466310080158</v>
      </c>
      <c r="O43" s="465">
        <v>26.582964415005261</v>
      </c>
      <c r="P43" s="465">
        <v>26.818211890985445</v>
      </c>
      <c r="Q43" s="465">
        <v>27.025403819147321</v>
      </c>
      <c r="R43" s="465">
        <v>27.189668398214508</v>
      </c>
    </row>
    <row r="44" spans="2:18" ht="13.5" customHeight="1">
      <c r="B44" s="464" t="s">
        <v>1066</v>
      </c>
      <c r="C44" s="464" t="s">
        <v>1066</v>
      </c>
      <c r="D44" s="465">
        <v>14.377135175854569</v>
      </c>
      <c r="E44" s="465">
        <v>13.982214847781266</v>
      </c>
      <c r="F44" s="465">
        <v>14.827421355961729</v>
      </c>
      <c r="G44" s="465">
        <v>15.414550860038354</v>
      </c>
      <c r="H44" s="465">
        <v>14.674293842646016</v>
      </c>
      <c r="I44" s="465">
        <v>14.668989482444605</v>
      </c>
      <c r="J44" s="465">
        <v>14.314422702369145</v>
      </c>
      <c r="K44" s="465">
        <v>14.363543474677865</v>
      </c>
      <c r="L44" s="465">
        <v>14.973810675754473</v>
      </c>
      <c r="M44" s="465">
        <v>15.294807733316704</v>
      </c>
      <c r="N44" s="465">
        <v>15.643071469829934</v>
      </c>
      <c r="O44" s="465">
        <v>15.938529149241814</v>
      </c>
      <c r="P44" s="465">
        <v>16.065258884051687</v>
      </c>
      <c r="Q44" s="465">
        <v>16.048607215897093</v>
      </c>
      <c r="R44" s="465">
        <v>16.016351111272122</v>
      </c>
    </row>
    <row r="45" spans="2:18" ht="13.5" customHeight="1">
      <c r="B45" s="464" t="s">
        <v>243</v>
      </c>
      <c r="C45" s="464" t="s">
        <v>243</v>
      </c>
      <c r="D45" s="465">
        <v>10.824589984357203</v>
      </c>
      <c r="E45" s="465">
        <v>12.604473717906917</v>
      </c>
      <c r="F45" s="465">
        <v>12.410955233549272</v>
      </c>
      <c r="G45" s="465">
        <v>12.732067896969603</v>
      </c>
      <c r="H45" s="465">
        <v>13.15934135642021</v>
      </c>
      <c r="I45" s="465">
        <v>13.470736496444832</v>
      </c>
      <c r="J45" s="465">
        <v>13.917914711318808</v>
      </c>
      <c r="K45" s="465">
        <v>14.071176092256902</v>
      </c>
      <c r="L45" s="465">
        <v>14.93242020326405</v>
      </c>
      <c r="M45" s="465">
        <v>15.273236716990723</v>
      </c>
      <c r="N45" s="465">
        <v>15.804614987815292</v>
      </c>
      <c r="O45" s="465">
        <v>16.833169687281885</v>
      </c>
      <c r="P45" s="465">
        <v>18.249233507252328</v>
      </c>
      <c r="Q45" s="465">
        <v>19.01662262365031</v>
      </c>
      <c r="R45" s="465">
        <v>20.232321244870185</v>
      </c>
    </row>
    <row r="46" spans="2:18">
      <c r="B46" s="464" t="s">
        <v>1067</v>
      </c>
      <c r="C46" s="464" t="s">
        <v>1067</v>
      </c>
      <c r="D46" s="465">
        <v>26.76327946301177</v>
      </c>
      <c r="E46" s="465">
        <v>24.289600184816411</v>
      </c>
      <c r="F46" s="465">
        <v>24.008007602738413</v>
      </c>
      <c r="G46" s="465">
        <v>23.500914466106998</v>
      </c>
      <c r="H46" s="465">
        <v>26.784440112917</v>
      </c>
      <c r="I46" s="465">
        <v>26.790567682678883</v>
      </c>
      <c r="J46" s="465">
        <v>25.459646910643819</v>
      </c>
      <c r="K46" s="465">
        <v>25.932411813043487</v>
      </c>
      <c r="L46" s="465">
        <v>29.440719227503102</v>
      </c>
      <c r="M46" s="465">
        <v>27.001553146188002</v>
      </c>
      <c r="N46" s="465">
        <v>27.576548094216879</v>
      </c>
      <c r="O46" s="465">
        <v>28.303077420618912</v>
      </c>
      <c r="P46" s="465">
        <v>28.660108754694676</v>
      </c>
      <c r="Q46" s="465">
        <v>29.029179490518509</v>
      </c>
      <c r="R46" s="465">
        <v>29.429839631369113</v>
      </c>
    </row>
    <row r="47" spans="2:18">
      <c r="B47" s="464" t="s">
        <v>128</v>
      </c>
      <c r="C47" s="464" t="s">
        <v>128</v>
      </c>
      <c r="D47" s="465">
        <v>17.738238931503453</v>
      </c>
      <c r="E47" s="465">
        <v>19.190369899484804</v>
      </c>
      <c r="F47" s="465">
        <v>19.066705832374584</v>
      </c>
      <c r="G47" s="465">
        <v>19.565299877878914</v>
      </c>
      <c r="H47" s="465">
        <v>19.45870759362063</v>
      </c>
      <c r="I47" s="465">
        <v>19.41451297838843</v>
      </c>
      <c r="J47" s="465">
        <v>18.389978549257169</v>
      </c>
      <c r="K47" s="465">
        <v>18.441821974765062</v>
      </c>
      <c r="L47" s="465">
        <v>18.266792506767231</v>
      </c>
      <c r="M47" s="465">
        <v>18.172815848903507</v>
      </c>
      <c r="N47" s="465">
        <v>18.362278851343554</v>
      </c>
      <c r="O47" s="465">
        <v>18.632610156013605</v>
      </c>
      <c r="P47" s="465">
        <v>18.85764796521098</v>
      </c>
      <c r="Q47" s="465">
        <v>19.179310535928479</v>
      </c>
      <c r="R47" s="465">
        <v>19.480722671908442</v>
      </c>
    </row>
    <row r="48" spans="2:18">
      <c r="B48" s="464" t="s">
        <v>1068</v>
      </c>
      <c r="C48" s="464" t="s">
        <v>1068</v>
      </c>
      <c r="D48" s="465">
        <v>23.64399421877982</v>
      </c>
      <c r="E48" s="465">
        <v>10.680387863471005</v>
      </c>
      <c r="F48" s="465">
        <v>7.5613084164351934</v>
      </c>
      <c r="G48" s="465">
        <v>3.4879072556466122</v>
      </c>
      <c r="H48" s="465">
        <v>6.4169381396658158</v>
      </c>
      <c r="I48" s="465">
        <v>7.3217585229557418</v>
      </c>
      <c r="J48" s="465">
        <v>6.805336382029525</v>
      </c>
      <c r="K48" s="465">
        <v>8.292553430654765</v>
      </c>
      <c r="L48" s="465">
        <v>10.94042948030971</v>
      </c>
      <c r="M48" s="465">
        <v>8.2976628886141697</v>
      </c>
      <c r="N48" s="465">
        <v>10.582548926033198</v>
      </c>
      <c r="O48" s="465">
        <v>12.879802215229313</v>
      </c>
      <c r="P48" s="465">
        <v>12.660886421216308</v>
      </c>
      <c r="Q48" s="465">
        <v>11.773112815036784</v>
      </c>
      <c r="R48" s="465">
        <v>11.720463138248569</v>
      </c>
    </row>
    <row r="49" spans="2:18">
      <c r="B49" s="464" t="s">
        <v>1069</v>
      </c>
      <c r="C49" s="464" t="s">
        <v>1069</v>
      </c>
      <c r="D49" s="465">
        <v>18.894767123858607</v>
      </c>
      <c r="E49" s="465">
        <v>18.769966591868489</v>
      </c>
      <c r="F49" s="465">
        <v>18.236747151448437</v>
      </c>
      <c r="G49" s="465">
        <v>17.47486884207261</v>
      </c>
      <c r="H49" s="465">
        <v>19.423900735891124</v>
      </c>
      <c r="I49" s="465">
        <v>20.413153268204951</v>
      </c>
      <c r="J49" s="465">
        <v>20.298749987976887</v>
      </c>
      <c r="K49" s="465">
        <v>22.31691009213381</v>
      </c>
      <c r="L49" s="465">
        <v>20.82759359584654</v>
      </c>
      <c r="M49" s="465">
        <v>22.021213754380621</v>
      </c>
      <c r="N49" s="465">
        <v>22.149458196859996</v>
      </c>
      <c r="O49" s="465">
        <v>22.275687314321672</v>
      </c>
      <c r="P49" s="465">
        <v>22.2547535579609</v>
      </c>
      <c r="Q49" s="465">
        <v>22.639520175033873</v>
      </c>
      <c r="R49" s="465">
        <v>22.754582143379604</v>
      </c>
    </row>
    <row r="50" spans="2:18">
      <c r="B50" s="466" t="s">
        <v>1070</v>
      </c>
      <c r="C50" s="466" t="s">
        <v>1070</v>
      </c>
      <c r="D50" s="467">
        <v>19.333330178474458</v>
      </c>
      <c r="E50" s="467">
        <v>18.714038174940423</v>
      </c>
      <c r="F50" s="467">
        <v>17.037815062080611</v>
      </c>
      <c r="G50" s="467">
        <v>18.096988353741128</v>
      </c>
      <c r="H50" s="467">
        <v>14.863801160662918</v>
      </c>
      <c r="I50" s="467">
        <v>10.826404863956515</v>
      </c>
      <c r="J50" s="467">
        <v>13.275287288966148</v>
      </c>
      <c r="K50" s="467">
        <v>15.368798568885833</v>
      </c>
      <c r="L50" s="467">
        <v>15.956161096229016</v>
      </c>
      <c r="M50" s="467">
        <v>15.569169555003256</v>
      </c>
      <c r="N50" s="467">
        <v>15.561580857843897</v>
      </c>
      <c r="O50" s="467">
        <v>15.569841119245947</v>
      </c>
      <c r="P50" s="467">
        <v>15.569841119245961</v>
      </c>
      <c r="Q50" s="467">
        <v>15.58632737225799</v>
      </c>
      <c r="R50" s="467">
        <v>15.586327372257966</v>
      </c>
    </row>
    <row r="51" spans="2:18" ht="6" customHeight="1">
      <c r="B51" s="464"/>
      <c r="C51" s="464"/>
      <c r="D51" s="465"/>
      <c r="E51" s="465"/>
      <c r="F51" s="465"/>
      <c r="G51" s="465"/>
      <c r="H51" s="465"/>
      <c r="I51" s="465"/>
      <c r="J51" s="465"/>
      <c r="K51" s="465"/>
      <c r="L51" s="465"/>
      <c r="M51" s="465"/>
      <c r="N51" s="465"/>
      <c r="O51" s="465"/>
      <c r="P51" s="465"/>
      <c r="Q51" s="465"/>
      <c r="R51" s="465"/>
    </row>
    <row r="52" spans="2:18" ht="12" customHeight="1">
      <c r="B52" s="613" t="s">
        <v>927</v>
      </c>
      <c r="C52" s="613"/>
      <c r="D52" s="613"/>
      <c r="E52" s="613"/>
      <c r="F52" s="613"/>
      <c r="G52" s="613"/>
      <c r="H52" s="613"/>
      <c r="I52" s="613"/>
      <c r="J52" s="613"/>
      <c r="K52" s="613"/>
      <c r="L52" s="613"/>
      <c r="M52" s="613"/>
      <c r="N52" s="613"/>
      <c r="O52" s="613"/>
      <c r="P52" s="613"/>
      <c r="Q52" s="468"/>
      <c r="R52" s="468"/>
    </row>
    <row r="53" spans="2:18">
      <c r="B53" s="613" t="s">
        <v>1071</v>
      </c>
      <c r="C53" s="613"/>
      <c r="D53" s="613"/>
      <c r="E53" s="613"/>
      <c r="F53" s="613"/>
      <c r="G53" s="613"/>
      <c r="H53" s="613"/>
      <c r="I53" s="613"/>
      <c r="J53" s="613"/>
      <c r="K53" s="613"/>
      <c r="L53" s="613"/>
      <c r="M53" s="613"/>
      <c r="N53" s="613"/>
      <c r="O53" s="613"/>
      <c r="P53" s="613"/>
      <c r="Q53" s="468"/>
      <c r="R53" s="468"/>
    </row>
    <row r="54" spans="2:18" ht="26.25" customHeight="1">
      <c r="B54" s="613"/>
      <c r="C54" s="613"/>
      <c r="D54" s="613"/>
      <c r="E54" s="613"/>
      <c r="F54" s="613"/>
      <c r="G54" s="613"/>
      <c r="H54" s="613"/>
      <c r="I54" s="613"/>
      <c r="J54" s="613"/>
      <c r="K54" s="613"/>
      <c r="L54" s="613"/>
      <c r="M54" s="613"/>
      <c r="N54" s="613"/>
      <c r="O54" s="613"/>
      <c r="P54" s="613"/>
      <c r="Q54" s="613"/>
      <c r="R54" s="510"/>
    </row>
    <row r="55" spans="2:18" ht="23.25" customHeight="1">
      <c r="B55" s="621"/>
      <c r="C55" s="613"/>
      <c r="D55" s="613"/>
      <c r="E55" s="613"/>
      <c r="F55" s="613"/>
      <c r="G55" s="613"/>
      <c r="H55" s="613"/>
      <c r="I55" s="613"/>
      <c r="J55" s="613"/>
      <c r="K55" s="613"/>
      <c r="L55" s="613"/>
      <c r="M55" s="613"/>
      <c r="N55" s="613"/>
      <c r="O55" s="613"/>
      <c r="P55" s="613"/>
      <c r="Q55" s="468"/>
      <c r="R55" s="468"/>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sheetData>
  <mergeCells count="6">
    <mergeCell ref="B55:P55"/>
    <mergeCell ref="B2:R2"/>
    <mergeCell ref="B3:R3"/>
    <mergeCell ref="B52:P52"/>
    <mergeCell ref="B53:P53"/>
    <mergeCell ref="B54:Q54"/>
  </mergeCells>
  <conditionalFormatting sqref="B12:R50">
    <cfRule type="expression" dxfId="17" priority="1">
      <formula>MOD(ROW(),2)=0</formula>
    </cfRule>
  </conditionalFormatting>
  <conditionalFormatting sqref="D11:R11">
    <cfRule type="expression" dxfId="16" priority="2">
      <formula>MOD(ROW(),2)=0</formula>
    </cfRule>
  </conditionalFormatting>
  <pageMargins left="0.7" right="0.7" top="0.75" bottom="0.75" header="0.3" footer="0.3"/>
  <pageSetup scale="1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B3E63-A78F-49D9-A5CD-9DF1CFDE4324}">
  <sheetPr codeName="Sheet23">
    <pageSetUpPr fitToPage="1"/>
  </sheetPr>
  <dimension ref="A2:AH77"/>
  <sheetViews>
    <sheetView zoomScale="94" zoomScaleNormal="154"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8.140625" style="451" customWidth="1"/>
    <col min="3" max="3" width="26.85546875" style="451" hidden="1" customWidth="1" outlineLevel="1"/>
    <col min="4" max="4" width="8.140625" style="452" customWidth="1" collapsed="1"/>
    <col min="5" max="18" width="8.140625" style="452" customWidth="1"/>
    <col min="19" max="34" width="9.140625" style="496"/>
    <col min="35" max="16384" width="9.140625" style="451"/>
  </cols>
  <sheetData>
    <row r="2" spans="2:18">
      <c r="B2" s="616" t="str">
        <f>"Table A20. Low-Income Developing Countries: General Government Expenditure, "&amp;D4&amp;"–"&amp;RIGHT(R4,2)</f>
        <v>Table A20. Low-Income Developing Countries: General Government Expenditure, 2014–28</v>
      </c>
      <c r="C2" s="616"/>
      <c r="D2" s="616"/>
      <c r="E2" s="616"/>
      <c r="F2" s="616"/>
      <c r="G2" s="616"/>
      <c r="H2" s="616"/>
      <c r="I2" s="616"/>
      <c r="J2" s="616"/>
      <c r="K2" s="616"/>
      <c r="L2" s="616"/>
      <c r="M2" s="616"/>
      <c r="N2" s="616"/>
      <c r="O2" s="616"/>
      <c r="P2" s="616"/>
      <c r="Q2" s="616"/>
      <c r="R2" s="616"/>
    </row>
    <row r="3" spans="2:18">
      <c r="B3" s="619" t="s">
        <v>81</v>
      </c>
      <c r="C3" s="620"/>
      <c r="D3" s="620"/>
      <c r="E3" s="620"/>
      <c r="F3" s="620"/>
      <c r="G3" s="620"/>
      <c r="H3" s="620"/>
      <c r="I3" s="620"/>
      <c r="J3" s="620"/>
      <c r="K3" s="620"/>
      <c r="L3" s="620"/>
      <c r="M3" s="620"/>
      <c r="N3" s="620"/>
      <c r="O3" s="620"/>
      <c r="P3" s="620"/>
      <c r="Q3" s="620"/>
      <c r="R3" s="620"/>
    </row>
    <row r="4" spans="2:18"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18" ht="14.1" customHeight="1">
      <c r="B5" s="459" t="s">
        <v>196</v>
      </c>
      <c r="C5" s="491" t="s">
        <v>125</v>
      </c>
      <c r="D5" s="461">
        <v>18.802570580860756</v>
      </c>
      <c r="E5" s="461">
        <v>18.019557197284826</v>
      </c>
      <c r="F5" s="461">
        <v>17.459098222774067</v>
      </c>
      <c r="G5" s="461">
        <v>17.83717709521914</v>
      </c>
      <c r="H5" s="461">
        <v>18.045546357155029</v>
      </c>
      <c r="I5" s="461">
        <v>17.975981403716794</v>
      </c>
      <c r="J5" s="461">
        <v>18.721142470134637</v>
      </c>
      <c r="K5" s="461">
        <v>19.031881114808041</v>
      </c>
      <c r="L5" s="461">
        <v>18.915155470636236</v>
      </c>
      <c r="M5" s="461">
        <v>19.133642981202364</v>
      </c>
      <c r="N5" s="461">
        <v>19.000311270275045</v>
      </c>
      <c r="O5" s="461">
        <v>18.962114156318307</v>
      </c>
      <c r="P5" s="461">
        <v>18.968869751589015</v>
      </c>
      <c r="Q5" s="461">
        <v>18.938489785883455</v>
      </c>
      <c r="R5" s="461">
        <v>18.819078774243579</v>
      </c>
    </row>
    <row r="6" spans="2:18" ht="14.1" customHeight="1">
      <c r="B6" s="462" t="s">
        <v>129</v>
      </c>
      <c r="C6" s="491" t="s">
        <v>1033</v>
      </c>
      <c r="D6" s="461">
        <v>15.715216668578064</v>
      </c>
      <c r="E6" s="461">
        <v>12.718481967263694</v>
      </c>
      <c r="F6" s="461">
        <v>11.369349495458037</v>
      </c>
      <c r="G6" s="461">
        <v>12.539331601892981</v>
      </c>
      <c r="H6" s="461">
        <v>13.325628363822304</v>
      </c>
      <c r="I6" s="461">
        <v>13.06541493474707</v>
      </c>
      <c r="J6" s="461">
        <v>12.69503750706866</v>
      </c>
      <c r="K6" s="461">
        <v>13.801314700206024</v>
      </c>
      <c r="L6" s="461">
        <v>14.781074821907664</v>
      </c>
      <c r="M6" s="461">
        <v>14.700908050345291</v>
      </c>
      <c r="N6" s="461">
        <v>14.335865547342024</v>
      </c>
      <c r="O6" s="461">
        <v>14.250953662216682</v>
      </c>
      <c r="P6" s="461">
        <v>14.134766382261363</v>
      </c>
      <c r="Q6" s="461">
        <v>14.088808536285923</v>
      </c>
      <c r="R6" s="461">
        <v>13.984357575158619</v>
      </c>
    </row>
    <row r="7" spans="2:18" ht="14.1" customHeight="1">
      <c r="B7" s="462" t="s">
        <v>108</v>
      </c>
      <c r="C7" s="491" t="s">
        <v>1034</v>
      </c>
      <c r="D7" s="461">
        <v>19.214869144900522</v>
      </c>
      <c r="E7" s="461">
        <v>19.252641521646808</v>
      </c>
      <c r="F7" s="461">
        <v>18.177249490689658</v>
      </c>
      <c r="G7" s="461">
        <v>17.96744710703215</v>
      </c>
      <c r="H7" s="461">
        <v>18.109493792351437</v>
      </c>
      <c r="I7" s="461">
        <v>17.908850138659396</v>
      </c>
      <c r="J7" s="461">
        <v>18.59867955126284</v>
      </c>
      <c r="K7" s="461">
        <v>18.657132705888095</v>
      </c>
      <c r="L7" s="461">
        <v>17.555838218368798</v>
      </c>
      <c r="M7" s="461">
        <v>19.029877446250026</v>
      </c>
      <c r="N7" s="461">
        <v>18.960429348466807</v>
      </c>
      <c r="O7" s="461">
        <v>19.094693874317695</v>
      </c>
      <c r="P7" s="461">
        <v>19.179233045399144</v>
      </c>
      <c r="Q7" s="461">
        <v>19.109835530499122</v>
      </c>
      <c r="R7" s="461">
        <v>19.03109243580117</v>
      </c>
    </row>
    <row r="8" spans="2:18" ht="14.1" customHeight="1">
      <c r="B8" s="462" t="s">
        <v>117</v>
      </c>
      <c r="C8" s="491" t="s">
        <v>1035</v>
      </c>
      <c r="D8" s="461">
        <v>22.653033024276596</v>
      </c>
      <c r="E8" s="461">
        <v>21.788468262217666</v>
      </c>
      <c r="F8" s="461">
        <v>22.431619524888202</v>
      </c>
      <c r="G8" s="461">
        <v>22.015971194554741</v>
      </c>
      <c r="H8" s="461">
        <v>21.900840317456073</v>
      </c>
      <c r="I8" s="461">
        <v>21.835485011349881</v>
      </c>
      <c r="J8" s="461">
        <v>23.097980564818421</v>
      </c>
      <c r="K8" s="461">
        <v>23.059207133946078</v>
      </c>
      <c r="L8" s="461">
        <v>21.185587072555638</v>
      </c>
      <c r="M8" s="461">
        <v>21.754146425454735</v>
      </c>
      <c r="N8" s="461">
        <v>21.949186866131225</v>
      </c>
      <c r="O8" s="461">
        <v>22.039225749181227</v>
      </c>
      <c r="P8" s="461">
        <v>22.164311081881351</v>
      </c>
      <c r="Q8" s="461">
        <v>22.216875502784205</v>
      </c>
      <c r="R8" s="461">
        <v>22.366130074237791</v>
      </c>
    </row>
    <row r="9" spans="2:18" ht="14.1" customHeight="1">
      <c r="B9" s="462" t="s">
        <v>1036</v>
      </c>
      <c r="C9" s="491" t="s">
        <v>1037</v>
      </c>
      <c r="D9" s="461">
        <v>17.589710280420867</v>
      </c>
      <c r="E9" s="461">
        <v>16.432380810408691</v>
      </c>
      <c r="F9" s="461">
        <v>16.220249945533361</v>
      </c>
      <c r="G9" s="461">
        <v>17.216661442072457</v>
      </c>
      <c r="H9" s="461">
        <v>17.164973206346087</v>
      </c>
      <c r="I9" s="461">
        <v>17.054426542219332</v>
      </c>
      <c r="J9" s="461">
        <v>18.023706928477001</v>
      </c>
      <c r="K9" s="461">
        <v>18.619202788566476</v>
      </c>
      <c r="L9" s="461">
        <v>18.902960511096339</v>
      </c>
      <c r="M9" s="461">
        <v>18.285693261096309</v>
      </c>
      <c r="N9" s="461">
        <v>18.022884177377119</v>
      </c>
      <c r="O9" s="461">
        <v>17.787400208500475</v>
      </c>
      <c r="P9" s="461">
        <v>17.683512693234384</v>
      </c>
      <c r="Q9" s="461">
        <v>17.636841336092839</v>
      </c>
      <c r="R9" s="461">
        <v>17.425312964437772</v>
      </c>
    </row>
    <row r="10" spans="2:18" ht="14.1" customHeight="1">
      <c r="B10" s="462" t="s">
        <v>232</v>
      </c>
      <c r="C10" s="491" t="s">
        <v>1038</v>
      </c>
      <c r="D10" s="461">
        <v>23.024445571904153</v>
      </c>
      <c r="E10" s="461">
        <v>21.184352401919291</v>
      </c>
      <c r="F10" s="461">
        <v>19.733361687708989</v>
      </c>
      <c r="G10" s="461">
        <v>19.51473699779612</v>
      </c>
      <c r="H10" s="461">
        <v>22.554657846646229</v>
      </c>
      <c r="I10" s="461">
        <v>23.349469174789011</v>
      </c>
      <c r="J10" s="461">
        <v>22.796148073642343</v>
      </c>
      <c r="K10" s="461">
        <v>22.758305560181849</v>
      </c>
      <c r="L10" s="461">
        <v>25.085094175336131</v>
      </c>
      <c r="M10" s="461">
        <v>24.399030229638228</v>
      </c>
      <c r="N10" s="461">
        <v>24.900070856700005</v>
      </c>
      <c r="O10" s="461">
        <v>25.426593654800477</v>
      </c>
      <c r="P10" s="461">
        <v>25.798260536627346</v>
      </c>
      <c r="Q10" s="461">
        <v>26.128253352155518</v>
      </c>
      <c r="R10" s="461">
        <v>26.303324149159412</v>
      </c>
    </row>
    <row r="11" spans="2:18" ht="16.5" customHeight="1">
      <c r="B11" s="451" t="s">
        <v>1039</v>
      </c>
      <c r="C11" s="451" t="s">
        <v>1039</v>
      </c>
      <c r="D11" s="465">
        <v>25.402449284905103</v>
      </c>
      <c r="E11" s="465">
        <v>25.946741808364642</v>
      </c>
      <c r="F11" s="465">
        <v>28.028975116970312</v>
      </c>
      <c r="G11" s="465">
        <v>27.731830470057034</v>
      </c>
      <c r="H11" s="465">
        <v>28.935634814464201</v>
      </c>
      <c r="I11" s="465">
        <v>27.999019632937845</v>
      </c>
      <c r="J11" s="465">
        <v>27.937020905075489</v>
      </c>
      <c r="K11" s="465" t="s">
        <v>1073</v>
      </c>
      <c r="L11" s="465" t="s">
        <v>1073</v>
      </c>
      <c r="M11" s="465" t="s">
        <v>145</v>
      </c>
      <c r="N11" s="465" t="s">
        <v>145</v>
      </c>
      <c r="O11" s="465" t="s">
        <v>145</v>
      </c>
      <c r="P11" s="465" t="s">
        <v>145</v>
      </c>
      <c r="Q11" s="465" t="s">
        <v>145</v>
      </c>
      <c r="R11" s="465" t="s">
        <v>145</v>
      </c>
    </row>
    <row r="12" spans="2:18" ht="13.5" customHeight="1">
      <c r="B12" s="464" t="s">
        <v>1040</v>
      </c>
      <c r="C12" s="464" t="s">
        <v>1040</v>
      </c>
      <c r="D12" s="465">
        <v>11.748036102269053</v>
      </c>
      <c r="E12" s="465">
        <v>11.503141012744964</v>
      </c>
      <c r="F12" s="465">
        <v>11.600952105215239</v>
      </c>
      <c r="G12" s="465">
        <v>12.235173752864831</v>
      </c>
      <c r="H12" s="465">
        <v>12.950355555824993</v>
      </c>
      <c r="I12" s="465">
        <v>13.552181912706143</v>
      </c>
      <c r="J12" s="465">
        <v>13.308218650525378</v>
      </c>
      <c r="K12" s="465">
        <v>12.967253159098075</v>
      </c>
      <c r="L12" s="465">
        <v>12.586220909428478</v>
      </c>
      <c r="M12" s="465">
        <v>14.480404303702704</v>
      </c>
      <c r="N12" s="465">
        <v>14.416897811403956</v>
      </c>
      <c r="O12" s="465">
        <v>14.782151411496338</v>
      </c>
      <c r="P12" s="465">
        <v>15.281259319859277</v>
      </c>
      <c r="Q12" s="465">
        <v>15.199316804514613</v>
      </c>
      <c r="R12" s="465">
        <v>15.195154773010941</v>
      </c>
    </row>
    <row r="13" spans="2:18" ht="13.5" customHeight="1">
      <c r="B13" s="464" t="s">
        <v>1041</v>
      </c>
      <c r="C13" s="464" t="s">
        <v>1041</v>
      </c>
      <c r="D13" s="465">
        <v>14.224556525098286</v>
      </c>
      <c r="E13" s="465">
        <v>18.152562984526234</v>
      </c>
      <c r="F13" s="465">
        <v>15.427786422187422</v>
      </c>
      <c r="G13" s="465">
        <v>17.784971731280059</v>
      </c>
      <c r="H13" s="465">
        <v>16.567508011920626</v>
      </c>
      <c r="I13" s="465">
        <v>14.601111698042581</v>
      </c>
      <c r="J13" s="465">
        <v>19.070971653629723</v>
      </c>
      <c r="K13" s="465">
        <v>19.85493215622672</v>
      </c>
      <c r="L13" s="465">
        <v>19.510024953984423</v>
      </c>
      <c r="M13" s="465">
        <v>18.740865490362548</v>
      </c>
      <c r="N13" s="465">
        <v>18.026294979282085</v>
      </c>
      <c r="O13" s="465">
        <v>18.490649594057533</v>
      </c>
      <c r="P13" s="465">
        <v>18.816376925181178</v>
      </c>
      <c r="Q13" s="465">
        <v>19.216376925181194</v>
      </c>
      <c r="R13" s="465">
        <v>19.749738828525899</v>
      </c>
    </row>
    <row r="14" spans="2:18" ht="13.5" customHeight="1">
      <c r="B14" s="464" t="s">
        <v>1042</v>
      </c>
      <c r="C14" s="464" t="s">
        <v>1042</v>
      </c>
      <c r="D14" s="465">
        <v>20.927723872116665</v>
      </c>
      <c r="E14" s="465">
        <v>20.35874226351909</v>
      </c>
      <c r="F14" s="465">
        <v>21.653626780597119</v>
      </c>
      <c r="G14" s="465">
        <v>26.111173158144162</v>
      </c>
      <c r="H14" s="465">
        <v>24.22177388740829</v>
      </c>
      <c r="I14" s="465">
        <v>23.221840360902767</v>
      </c>
      <c r="J14" s="465">
        <v>24.261041776692231</v>
      </c>
      <c r="K14" s="465">
        <v>27.752712009520558</v>
      </c>
      <c r="L14" s="465">
        <v>31.338325530063273</v>
      </c>
      <c r="M14" s="465">
        <v>28.409235520640909</v>
      </c>
      <c r="N14" s="465">
        <v>27.278458121372367</v>
      </c>
      <c r="O14" s="465">
        <v>26.070782370570189</v>
      </c>
      <c r="P14" s="465">
        <v>24.76688883211045</v>
      </c>
      <c r="Q14" s="465">
        <v>23.726680506197759</v>
      </c>
      <c r="R14" s="465">
        <v>24.291239959751344</v>
      </c>
    </row>
    <row r="15" spans="2:18" ht="13.5" customHeight="1">
      <c r="B15" s="464" t="s">
        <v>1043</v>
      </c>
      <c r="C15" s="464" t="s">
        <v>1043</v>
      </c>
      <c r="D15" s="465">
        <v>21.718389109406804</v>
      </c>
      <c r="E15" s="465">
        <v>20.271689520478066</v>
      </c>
      <c r="F15" s="465">
        <v>21.118165955815396</v>
      </c>
      <c r="G15" s="465">
        <v>22.355908280763142</v>
      </c>
      <c r="H15" s="465">
        <v>23.045829743494792</v>
      </c>
      <c r="I15" s="465">
        <v>23.816589500632105</v>
      </c>
      <c r="J15" s="465">
        <v>27.32549798466129</v>
      </c>
      <c r="K15" s="465">
        <v>28.639996535465865</v>
      </c>
      <c r="L15" s="465">
        <v>26.241424815656533</v>
      </c>
      <c r="M15" s="465">
        <v>27.015262738721717</v>
      </c>
      <c r="N15" s="465">
        <v>26.405579246117483</v>
      </c>
      <c r="O15" s="465">
        <v>26.571583671400667</v>
      </c>
      <c r="P15" s="465">
        <v>26.444729545219243</v>
      </c>
      <c r="Q15" s="465">
        <v>26.344274566389903</v>
      </c>
      <c r="R15" s="465">
        <v>26.750233044086929</v>
      </c>
    </row>
    <row r="16" spans="2:18" ht="13.5" customHeight="1">
      <c r="B16" s="464" t="s">
        <v>1044</v>
      </c>
      <c r="C16" s="464" t="s">
        <v>1044</v>
      </c>
      <c r="D16" s="465">
        <v>20.062163480788413</v>
      </c>
      <c r="E16" s="465">
        <v>20.068863323725125</v>
      </c>
      <c r="F16" s="465">
        <v>20.184383453386832</v>
      </c>
      <c r="G16" s="465">
        <v>19.227441233937625</v>
      </c>
      <c r="H16" s="465">
        <v>17.952565198926163</v>
      </c>
      <c r="I16" s="465">
        <v>18.665071519263488</v>
      </c>
      <c r="J16" s="465">
        <v>16.580229350225899</v>
      </c>
      <c r="K16" s="465">
        <v>16.94034543439264</v>
      </c>
      <c r="L16" s="465">
        <v>17.960409590167892</v>
      </c>
      <c r="M16" s="465">
        <v>16.239666641052697</v>
      </c>
      <c r="N16" s="465">
        <v>15.960697866365466</v>
      </c>
      <c r="O16" s="465">
        <v>15.520605756813358</v>
      </c>
      <c r="P16" s="465">
        <v>15.900839478231402</v>
      </c>
      <c r="Q16" s="465">
        <v>16.409097973766197</v>
      </c>
      <c r="R16" s="465">
        <v>16.425261243501467</v>
      </c>
    </row>
    <row r="17" spans="2:33" ht="13.5" customHeight="1">
      <c r="B17" s="464" t="s">
        <v>241</v>
      </c>
      <c r="C17" s="464" t="s">
        <v>241</v>
      </c>
      <c r="D17" s="465">
        <v>21.977897583781107</v>
      </c>
      <c r="E17" s="465">
        <v>18.340267001297693</v>
      </c>
      <c r="F17" s="465">
        <v>14.366017297724879</v>
      </c>
      <c r="G17" s="465">
        <v>14.880079682912386</v>
      </c>
      <c r="H17" s="465">
        <v>13.342331582449161</v>
      </c>
      <c r="I17" s="465">
        <v>14.34567415719089</v>
      </c>
      <c r="J17" s="465">
        <v>19.036072025858012</v>
      </c>
      <c r="K17" s="465">
        <v>18.420753276064275</v>
      </c>
      <c r="L17" s="465">
        <v>16.593134359005788</v>
      </c>
      <c r="M17" s="465">
        <v>17.690314545621877</v>
      </c>
      <c r="N17" s="465">
        <v>16.695253800805474</v>
      </c>
      <c r="O17" s="465">
        <v>16.750305465072216</v>
      </c>
      <c r="P17" s="465">
        <v>15.561709502345449</v>
      </c>
      <c r="Q17" s="465">
        <v>15.239446864857911</v>
      </c>
      <c r="R17" s="465">
        <v>14.709257853483686</v>
      </c>
    </row>
    <row r="18" spans="2:33" ht="13.5" customHeight="1">
      <c r="B18" s="464" t="s">
        <v>1045</v>
      </c>
      <c r="C18" s="464" t="s">
        <v>1045</v>
      </c>
      <c r="D18" s="465">
        <v>17.311892240741415</v>
      </c>
      <c r="E18" s="465">
        <v>16.270679293439791</v>
      </c>
      <c r="F18" s="465">
        <v>13.926860790637226</v>
      </c>
      <c r="G18" s="465">
        <v>9.9972421935384688</v>
      </c>
      <c r="H18" s="465">
        <v>10.91909559641083</v>
      </c>
      <c r="I18" s="465">
        <v>12.685644629625001</v>
      </c>
      <c r="J18" s="465">
        <v>10.374281944559186</v>
      </c>
      <c r="K18" s="465">
        <v>14.620621065099412</v>
      </c>
      <c r="L18" s="465">
        <v>18.756589390026011</v>
      </c>
      <c r="M18" s="465">
        <v>18.300191836618261</v>
      </c>
      <c r="N18" s="465">
        <v>18.985269537541885</v>
      </c>
      <c r="O18" s="465">
        <v>19.521874495170749</v>
      </c>
      <c r="P18" s="465">
        <v>19.923298589027887</v>
      </c>
      <c r="Q18" s="465">
        <v>20.253288566587226</v>
      </c>
      <c r="R18" s="465">
        <v>19.732167122277573</v>
      </c>
      <c r="T18" s="499"/>
      <c r="U18" s="499"/>
      <c r="V18" s="499"/>
      <c r="W18" s="499"/>
      <c r="X18" s="499"/>
      <c r="Y18" s="499"/>
      <c r="Z18" s="499"/>
      <c r="AA18" s="499"/>
      <c r="AB18" s="499"/>
      <c r="AC18" s="499"/>
      <c r="AD18" s="499"/>
      <c r="AE18" s="499"/>
      <c r="AF18" s="499"/>
      <c r="AG18" s="499"/>
    </row>
    <row r="19" spans="2:33" ht="13.5" customHeight="1">
      <c r="B19" s="464" t="s">
        <v>1046</v>
      </c>
      <c r="C19" s="464" t="s">
        <v>1046</v>
      </c>
      <c r="D19" s="465">
        <v>48.562332991932834</v>
      </c>
      <c r="E19" s="465">
        <v>41.288182447297785</v>
      </c>
      <c r="F19" s="465">
        <v>41.510296283180899</v>
      </c>
      <c r="G19" s="465">
        <v>28.372988702805507</v>
      </c>
      <c r="H19" s="465">
        <v>19.222865863602127</v>
      </c>
      <c r="I19" s="465">
        <v>21.81847057754231</v>
      </c>
      <c r="J19" s="465">
        <v>23.08431675144001</v>
      </c>
      <c r="K19" s="465">
        <v>23.103394547365514</v>
      </c>
      <c r="L19" s="465">
        <v>24.715494673113291</v>
      </c>
      <c r="M19" s="465">
        <v>25.068241955158673</v>
      </c>
      <c r="N19" s="465">
        <v>24.234292231994967</v>
      </c>
      <c r="O19" s="465">
        <v>24.846379352224702</v>
      </c>
      <c r="P19" s="465">
        <v>24.658058447661023</v>
      </c>
      <c r="Q19" s="465">
        <v>23.989061226754984</v>
      </c>
      <c r="R19" s="465">
        <v>22.32599117660844</v>
      </c>
    </row>
    <row r="20" spans="2:33" ht="13.5" customHeight="1">
      <c r="B20" s="464" t="s">
        <v>239</v>
      </c>
      <c r="C20" s="464" t="s">
        <v>239</v>
      </c>
      <c r="D20" s="465">
        <v>15.213547547772025</v>
      </c>
      <c r="E20" s="465">
        <v>16.502596602032309</v>
      </c>
      <c r="F20" s="465">
        <v>17.580832197431416</v>
      </c>
      <c r="G20" s="465">
        <v>18.109088858192507</v>
      </c>
      <c r="H20" s="465">
        <v>17.560628306486876</v>
      </c>
      <c r="I20" s="465">
        <v>16.936229332239623</v>
      </c>
      <c r="J20" s="465">
        <v>20.012830148756041</v>
      </c>
      <c r="K20" s="465">
        <v>20.345840132786591</v>
      </c>
      <c r="L20" s="465">
        <v>21.445701931344818</v>
      </c>
      <c r="M20" s="465">
        <v>20.901647606066149</v>
      </c>
      <c r="N20" s="465">
        <v>20.136070894706673</v>
      </c>
      <c r="O20" s="465">
        <v>19.626700236104455</v>
      </c>
      <c r="P20" s="465">
        <v>20.191543072929484</v>
      </c>
      <c r="Q20" s="465">
        <v>20.20293599693413</v>
      </c>
      <c r="R20" s="465">
        <v>20.17076915831095</v>
      </c>
    </row>
    <row r="21" spans="2:33" ht="13.5" customHeight="1">
      <c r="B21" s="464" t="s">
        <v>1048</v>
      </c>
      <c r="C21" s="464" t="s">
        <v>1048</v>
      </c>
      <c r="D21" s="465">
        <v>17.483706835472656</v>
      </c>
      <c r="E21" s="465">
        <v>17.325734653565672</v>
      </c>
      <c r="F21" s="465">
        <v>17.912968728373375</v>
      </c>
      <c r="G21" s="465">
        <v>17.986719787776888</v>
      </c>
      <c r="H21" s="465">
        <v>16.099359257584521</v>
      </c>
      <c r="I21" s="465">
        <v>15.35276872086833</v>
      </c>
      <c r="J21" s="465">
        <v>14.469255160063357</v>
      </c>
      <c r="K21" s="465">
        <v>13.797586755708949</v>
      </c>
      <c r="L21" s="465">
        <v>12.696459956198785</v>
      </c>
      <c r="M21" s="465">
        <v>12.355971667906154</v>
      </c>
      <c r="N21" s="465">
        <v>12.424243643053567</v>
      </c>
      <c r="O21" s="465">
        <v>12.735657232729849</v>
      </c>
      <c r="P21" s="465">
        <v>13.019329055324159</v>
      </c>
      <c r="Q21" s="465">
        <v>13.204018632145273</v>
      </c>
      <c r="R21" s="465">
        <v>13.373385513966932</v>
      </c>
    </row>
    <row r="22" spans="2:33" ht="13.5" customHeight="1">
      <c r="B22" s="464" t="s">
        <v>1049</v>
      </c>
      <c r="C22" s="464" t="s">
        <v>1049</v>
      </c>
      <c r="D22" s="465">
        <v>20.966335030745277</v>
      </c>
      <c r="E22" s="465">
        <v>18.623336308996329</v>
      </c>
      <c r="F22" s="465">
        <v>19.890578387327835</v>
      </c>
      <c r="G22" s="465">
        <v>17.582205196962679</v>
      </c>
      <c r="H22" s="465">
        <v>20.895237733240148</v>
      </c>
      <c r="I22" s="465">
        <v>22.490582759818725</v>
      </c>
      <c r="J22" s="465">
        <v>31.510901231132955</v>
      </c>
      <c r="K22" s="465">
        <v>27.36394451275951</v>
      </c>
      <c r="L22" s="465">
        <v>25.556543743285935</v>
      </c>
      <c r="M22" s="465">
        <v>24.498872320760544</v>
      </c>
      <c r="N22" s="465">
        <v>26.372542519599367</v>
      </c>
      <c r="O22" s="465">
        <v>25.77731264634685</v>
      </c>
      <c r="P22" s="465">
        <v>24.610277973148207</v>
      </c>
      <c r="Q22" s="465">
        <v>24.011548412248743</v>
      </c>
      <c r="R22" s="465">
        <v>24.066963615278745</v>
      </c>
    </row>
    <row r="23" spans="2:33" ht="13.5" customHeight="1">
      <c r="B23" s="464" t="s">
        <v>1050</v>
      </c>
      <c r="C23" s="464" t="s">
        <v>1050</v>
      </c>
      <c r="D23" s="465">
        <v>20.207717836593595</v>
      </c>
      <c r="E23" s="465">
        <v>21.701738761029961</v>
      </c>
      <c r="F23" s="465">
        <v>16.136228272866294</v>
      </c>
      <c r="G23" s="465">
        <v>17.346023382170031</v>
      </c>
      <c r="H23" s="465">
        <v>16.034283298844638</v>
      </c>
      <c r="I23" s="465">
        <v>14.978425230811149</v>
      </c>
      <c r="J23" s="465">
        <v>17.023599591292093</v>
      </c>
      <c r="K23" s="465">
        <v>15.322706512717147</v>
      </c>
      <c r="L23" s="465">
        <v>13.829717073030606</v>
      </c>
      <c r="M23" s="465">
        <v>15.551517888425201</v>
      </c>
      <c r="N23" s="465">
        <v>16.172240608054896</v>
      </c>
      <c r="O23" s="465">
        <v>16.873059688463979</v>
      </c>
      <c r="P23" s="465">
        <v>17.405542303224614</v>
      </c>
      <c r="Q23" s="465">
        <v>17.865979833831826</v>
      </c>
      <c r="R23" s="465">
        <v>17.461705223992901</v>
      </c>
    </row>
    <row r="24" spans="2:33" ht="13.5" customHeight="1">
      <c r="B24" s="464" t="s">
        <v>1051</v>
      </c>
      <c r="C24" s="464" t="s">
        <v>1051</v>
      </c>
      <c r="D24" s="465">
        <v>14.628901621365632</v>
      </c>
      <c r="E24" s="465">
        <v>12.747547859619313</v>
      </c>
      <c r="F24" s="465">
        <v>10.649544382721224</v>
      </c>
      <c r="G24" s="465">
        <v>9.7592982030973143</v>
      </c>
      <c r="H24" s="465">
        <v>11.144900411008974</v>
      </c>
      <c r="I24" s="465">
        <v>10.124610206085476</v>
      </c>
      <c r="J24" s="465">
        <v>9.8811267132548153</v>
      </c>
      <c r="K24" s="465">
        <v>10.838252957917748</v>
      </c>
      <c r="L24" s="465">
        <v>10.164987741440401</v>
      </c>
      <c r="M24" s="465">
        <v>10.578787873834226</v>
      </c>
      <c r="N24" s="465">
        <v>10.658204564257971</v>
      </c>
      <c r="O24" s="465">
        <v>11.128024773302132</v>
      </c>
      <c r="P24" s="465">
        <v>11.711672451005157</v>
      </c>
      <c r="Q24" s="465">
        <v>11.960608377715316</v>
      </c>
      <c r="R24" s="465">
        <v>12.364981841260489</v>
      </c>
    </row>
    <row r="25" spans="2:33" ht="15.75" customHeight="1">
      <c r="B25" s="464" t="s">
        <v>1052</v>
      </c>
      <c r="C25" s="464" t="s">
        <v>1052</v>
      </c>
      <c r="D25" s="465">
        <v>27.637906557396352</v>
      </c>
      <c r="E25" s="465">
        <v>26.021890182986638</v>
      </c>
      <c r="F25" s="465">
        <v>27.382562791572624</v>
      </c>
      <c r="G25" s="465">
        <v>26.857901842883276</v>
      </c>
      <c r="H25" s="465">
        <v>26.156129244024136</v>
      </c>
      <c r="I25" s="465">
        <v>25.724374447628033</v>
      </c>
      <c r="J25" s="465">
        <v>28.006953185053241</v>
      </c>
      <c r="K25" s="465">
        <v>28.423608248774269</v>
      </c>
      <c r="L25" s="465">
        <v>24.448254346255958</v>
      </c>
      <c r="M25" s="465" t="s">
        <v>145</v>
      </c>
      <c r="N25" s="465" t="s">
        <v>145</v>
      </c>
      <c r="O25" s="465" t="s">
        <v>145</v>
      </c>
      <c r="P25" s="465" t="s">
        <v>145</v>
      </c>
      <c r="Q25" s="465" t="s">
        <v>145</v>
      </c>
      <c r="R25" s="465" t="s">
        <v>145</v>
      </c>
      <c r="S25" s="451"/>
      <c r="T25" s="451"/>
    </row>
    <row r="26" spans="2:33" ht="13.5" customHeight="1">
      <c r="B26" s="464" t="s">
        <v>126</v>
      </c>
      <c r="C26" s="464" t="s">
        <v>126</v>
      </c>
      <c r="D26" s="465">
        <v>23.424853957273644</v>
      </c>
      <c r="E26" s="465">
        <v>23.826737988125124</v>
      </c>
      <c r="F26" s="465">
        <v>25.34441872610995</v>
      </c>
      <c r="G26" s="465">
        <v>25.168903428315819</v>
      </c>
      <c r="H26" s="465">
        <v>24.452098432995342</v>
      </c>
      <c r="I26" s="465">
        <v>24.399959528220709</v>
      </c>
      <c r="J26" s="465">
        <v>24.795769439574102</v>
      </c>
      <c r="K26" s="465">
        <v>23.860903799442102</v>
      </c>
      <c r="L26" s="465">
        <v>23.489289786268415</v>
      </c>
      <c r="M26" s="465">
        <v>22.782385620878699</v>
      </c>
      <c r="N26" s="465">
        <v>22.341554020134566</v>
      </c>
      <c r="O26" s="465">
        <v>21.880310476836865</v>
      </c>
      <c r="P26" s="465">
        <v>21.877520989885401</v>
      </c>
      <c r="Q26" s="465">
        <v>22.192527225545895</v>
      </c>
      <c r="R26" s="465">
        <v>22.310268047855512</v>
      </c>
    </row>
    <row r="27" spans="2:33" ht="13.5" customHeight="1">
      <c r="B27" s="464" t="s">
        <v>1053</v>
      </c>
      <c r="C27" s="464" t="s">
        <v>1053</v>
      </c>
      <c r="D27" s="465">
        <v>38.50805685059796</v>
      </c>
      <c r="E27" s="465">
        <v>38.083712413899619</v>
      </c>
      <c r="F27" s="465">
        <v>38.9230449999895</v>
      </c>
      <c r="G27" s="465">
        <v>37.020143816163404</v>
      </c>
      <c r="H27" s="465">
        <v>33.059694255173646</v>
      </c>
      <c r="I27" s="465">
        <v>32.579613919271708</v>
      </c>
      <c r="J27" s="465">
        <v>34.091614153291772</v>
      </c>
      <c r="K27" s="465">
        <v>33.947250797548186</v>
      </c>
      <c r="L27" s="465">
        <v>39.875086715609292</v>
      </c>
      <c r="M27" s="465">
        <v>38.252109988690172</v>
      </c>
      <c r="N27" s="465">
        <v>38.81988592832537</v>
      </c>
      <c r="O27" s="465">
        <v>38.704427655807358</v>
      </c>
      <c r="P27" s="465">
        <v>38.726976842218157</v>
      </c>
      <c r="Q27" s="465">
        <v>38.757020068030698</v>
      </c>
      <c r="R27" s="465">
        <v>38.812453422325071</v>
      </c>
    </row>
    <row r="28" spans="2:33" ht="13.5" customHeight="1">
      <c r="B28" s="464" t="s">
        <v>1054</v>
      </c>
      <c r="C28" s="464" t="s">
        <v>1054</v>
      </c>
      <c r="D28" s="465">
        <v>24.987019515741444</v>
      </c>
      <c r="E28" s="465">
        <v>25.782277968242067</v>
      </c>
      <c r="F28" s="465">
        <v>20.877304619800334</v>
      </c>
      <c r="G28" s="465">
        <v>21.802472919636596</v>
      </c>
      <c r="H28" s="465">
        <v>20.907353666228168</v>
      </c>
      <c r="I28" s="465">
        <v>18.763848794858323</v>
      </c>
      <c r="J28" s="465">
        <v>18.585949993581313</v>
      </c>
      <c r="K28" s="465">
        <v>16.325149760502487</v>
      </c>
      <c r="L28" s="465">
        <v>16.530102391444228</v>
      </c>
      <c r="M28" s="465">
        <v>18.434410602988084</v>
      </c>
      <c r="N28" s="465">
        <v>18.547736748912435</v>
      </c>
      <c r="O28" s="465">
        <v>18.455204919584151</v>
      </c>
      <c r="P28" s="465">
        <v>18.584071232982179</v>
      </c>
      <c r="Q28" s="465">
        <v>17.960307482658116</v>
      </c>
      <c r="R28" s="465">
        <v>17.881051598715587</v>
      </c>
    </row>
    <row r="29" spans="2:33" ht="13.5" customHeight="1">
      <c r="B29" s="464" t="s">
        <v>1055</v>
      </c>
      <c r="C29" s="464" t="s">
        <v>1055</v>
      </c>
      <c r="D29" s="465">
        <v>12.554749145086239</v>
      </c>
      <c r="E29" s="465">
        <v>13.029157115449314</v>
      </c>
      <c r="F29" s="465">
        <v>13.545565021572989</v>
      </c>
      <c r="G29" s="465">
        <v>14.942376806819238</v>
      </c>
      <c r="H29" s="465">
        <v>14.351060947110847</v>
      </c>
      <c r="I29" s="465">
        <v>15.36152981545818</v>
      </c>
      <c r="J29" s="465">
        <v>16.355058754075124</v>
      </c>
      <c r="K29" s="465">
        <v>13.997917926213468</v>
      </c>
      <c r="L29" s="465">
        <v>20.333621495513764</v>
      </c>
      <c r="M29" s="465">
        <v>17.586421307133655</v>
      </c>
      <c r="N29" s="465">
        <v>18.605120985452732</v>
      </c>
      <c r="O29" s="465">
        <v>19.525556941445796</v>
      </c>
      <c r="P29" s="465">
        <v>19.029586654561207</v>
      </c>
      <c r="Q29" s="465">
        <v>19.4017113390634</v>
      </c>
      <c r="R29" s="465">
        <v>19.238267051056003</v>
      </c>
    </row>
    <row r="30" spans="2:33" ht="13.5" customHeight="1">
      <c r="B30" s="464" t="s">
        <v>1056</v>
      </c>
      <c r="C30" s="464" t="s">
        <v>1056</v>
      </c>
      <c r="D30" s="465">
        <v>18.274371909121403</v>
      </c>
      <c r="E30" s="465">
        <v>19.52058260773952</v>
      </c>
      <c r="F30" s="465">
        <v>19.746075745783166</v>
      </c>
      <c r="G30" s="465">
        <v>20.99240548897841</v>
      </c>
      <c r="H30" s="465">
        <v>19.381367024767211</v>
      </c>
      <c r="I30" s="465">
        <v>19.314478699230378</v>
      </c>
      <c r="J30" s="465">
        <v>22.72913084236562</v>
      </c>
      <c r="K30" s="465">
        <v>23.673308217046738</v>
      </c>
      <c r="L30" s="465">
        <v>24.38997191803108</v>
      </c>
      <c r="M30" s="465">
        <v>24.334775139043963</v>
      </c>
      <c r="N30" s="465">
        <v>25.490630424734512</v>
      </c>
      <c r="O30" s="465">
        <v>23.923521629570946</v>
      </c>
      <c r="P30" s="465">
        <v>22.854411683137961</v>
      </c>
      <c r="Q30" s="465">
        <v>21.623099578114985</v>
      </c>
      <c r="R30" s="465">
        <v>21.048422211588658</v>
      </c>
    </row>
    <row r="31" spans="2:33" ht="13.5" customHeight="1">
      <c r="B31" s="464" t="s">
        <v>240</v>
      </c>
      <c r="C31" s="464" t="s">
        <v>240</v>
      </c>
      <c r="D31" s="465">
        <v>20.017749277435566</v>
      </c>
      <c r="E31" s="465">
        <v>20.938580419783118</v>
      </c>
      <c r="F31" s="465">
        <v>22.258335023123234</v>
      </c>
      <c r="G31" s="465">
        <v>22.92105124637558</v>
      </c>
      <c r="H31" s="465">
        <v>20.307394444374971</v>
      </c>
      <c r="I31" s="465">
        <v>23.149352443716886</v>
      </c>
      <c r="J31" s="465">
        <v>25.889475977513598</v>
      </c>
      <c r="K31" s="465">
        <v>26.445717516523999</v>
      </c>
      <c r="L31" s="465">
        <v>24.725792631466057</v>
      </c>
      <c r="M31" s="465">
        <v>25.451400580503641</v>
      </c>
      <c r="N31" s="465">
        <v>25.321613965498969</v>
      </c>
      <c r="O31" s="465">
        <v>25.480859283482282</v>
      </c>
      <c r="P31" s="465">
        <v>25.156504380113486</v>
      </c>
      <c r="Q31" s="465">
        <v>25.388201024003681</v>
      </c>
      <c r="R31" s="465">
        <v>25.61902581711691</v>
      </c>
    </row>
    <row r="32" spans="2:33" ht="13.5" customHeight="1">
      <c r="B32" s="464" t="s">
        <v>1057</v>
      </c>
      <c r="C32" s="464" t="s">
        <v>1057</v>
      </c>
      <c r="D32" s="465">
        <v>33.3917098222541</v>
      </c>
      <c r="E32" s="465">
        <v>31.904451390526006</v>
      </c>
      <c r="F32" s="465">
        <v>30.117918993641457</v>
      </c>
      <c r="G32" s="465">
        <v>30.978318608649925</v>
      </c>
      <c r="H32" s="465">
        <v>31.528653201248495</v>
      </c>
      <c r="I32" s="465">
        <v>31.985408208669991</v>
      </c>
      <c r="J32" s="465">
        <v>36.686300744345161</v>
      </c>
      <c r="K32" s="465">
        <v>34.610914974627178</v>
      </c>
      <c r="L32" s="465">
        <v>36.778101654888516</v>
      </c>
      <c r="M32" s="465">
        <v>38.61216580372313</v>
      </c>
      <c r="N32" s="465">
        <v>36.042589525347303</v>
      </c>
      <c r="O32" s="465">
        <v>35.617034986599236</v>
      </c>
      <c r="P32" s="465">
        <v>35.468229692741573</v>
      </c>
      <c r="Q32" s="465">
        <v>35.134650968035707</v>
      </c>
      <c r="R32" s="465">
        <v>34.765350404497205</v>
      </c>
    </row>
    <row r="33" spans="2:18" ht="13.5" customHeight="1">
      <c r="B33" s="464" t="s">
        <v>1058</v>
      </c>
      <c r="C33" s="464" t="s">
        <v>1058</v>
      </c>
      <c r="D33" s="465">
        <v>40.318529322579657</v>
      </c>
      <c r="E33" s="465">
        <v>32.686037116764929</v>
      </c>
      <c r="F33" s="465">
        <v>29.041853052677553</v>
      </c>
      <c r="G33" s="465">
        <v>29.065852806431209</v>
      </c>
      <c r="H33" s="465">
        <v>31.346253245388901</v>
      </c>
      <c r="I33" s="465">
        <v>29.833239611078088</v>
      </c>
      <c r="J33" s="465">
        <v>32.876920452750383</v>
      </c>
      <c r="K33" s="465">
        <v>31.528474227529252</v>
      </c>
      <c r="L33" s="465">
        <v>34.384741320054459</v>
      </c>
      <c r="M33" s="465">
        <v>33.389298316968606</v>
      </c>
      <c r="N33" s="465">
        <v>30.958249031925099</v>
      </c>
      <c r="O33" s="465">
        <v>30.039410876748768</v>
      </c>
      <c r="P33" s="465">
        <v>29.805243823396406</v>
      </c>
      <c r="Q33" s="465">
        <v>27.815524478886296</v>
      </c>
      <c r="R33" s="465">
        <v>25.709376758876829</v>
      </c>
    </row>
    <row r="34" spans="2:18" ht="13.5" customHeight="1">
      <c r="B34" s="464" t="s">
        <v>1059</v>
      </c>
      <c r="C34" s="464" t="s">
        <v>1059</v>
      </c>
      <c r="D34" s="465">
        <v>23.777129985739823</v>
      </c>
      <c r="E34" s="465">
        <v>24.208196577868971</v>
      </c>
      <c r="F34" s="465">
        <v>23.432910640798891</v>
      </c>
      <c r="G34" s="465">
        <v>20.766701938804889</v>
      </c>
      <c r="H34" s="465">
        <v>21.031495631247495</v>
      </c>
      <c r="I34" s="465">
        <v>20.255975067223243</v>
      </c>
      <c r="J34" s="465">
        <v>21.64773365834931</v>
      </c>
      <c r="K34" s="465">
        <v>24.140761240868986</v>
      </c>
      <c r="L34" s="465">
        <v>18.439027529471332</v>
      </c>
      <c r="M34" s="465">
        <v>18.641474809058263</v>
      </c>
      <c r="N34" s="465">
        <v>19.16806660576351</v>
      </c>
      <c r="O34" s="465">
        <v>19.468671410453204</v>
      </c>
      <c r="P34" s="465">
        <v>19.289539307919874</v>
      </c>
      <c r="Q34" s="465">
        <v>19.053753605179462</v>
      </c>
      <c r="R34" s="465">
        <v>19.075437167633805</v>
      </c>
    </row>
    <row r="35" spans="2:18" ht="13.5" customHeight="1">
      <c r="B35" s="464" t="s">
        <v>242</v>
      </c>
      <c r="C35" s="464" t="s">
        <v>242</v>
      </c>
      <c r="D35" s="465">
        <v>16.583304981880538</v>
      </c>
      <c r="E35" s="465">
        <v>17.66976028111112</v>
      </c>
      <c r="F35" s="465">
        <v>18.961409816231644</v>
      </c>
      <c r="G35" s="465">
        <v>23.634770823995048</v>
      </c>
      <c r="H35" s="465">
        <v>27.999092588527191</v>
      </c>
      <c r="I35" s="465">
        <v>27.339421549242083</v>
      </c>
      <c r="J35" s="465">
        <v>27.608640214784792</v>
      </c>
      <c r="K35" s="465">
        <v>27.727640805408754</v>
      </c>
      <c r="L35" s="465">
        <v>26.778496956031866</v>
      </c>
      <c r="M35" s="465">
        <v>26.148561608416404</v>
      </c>
      <c r="N35" s="465">
        <v>26.944524838032702</v>
      </c>
      <c r="O35" s="465">
        <v>27.101207869754123</v>
      </c>
      <c r="P35" s="465">
        <v>27.499522490671584</v>
      </c>
      <c r="Q35" s="465">
        <v>27.981221278116479</v>
      </c>
      <c r="R35" s="465">
        <v>27.929990067578519</v>
      </c>
    </row>
    <row r="36" spans="2:18" ht="13.5" customHeight="1">
      <c r="B36" s="464" t="s">
        <v>1060</v>
      </c>
      <c r="C36" s="464" t="s">
        <v>1060</v>
      </c>
      <c r="D36" s="465">
        <v>24.587151507069692</v>
      </c>
      <c r="E36" s="465">
        <v>25.337474207297799</v>
      </c>
      <c r="F36" s="465">
        <v>26.750710916928604</v>
      </c>
      <c r="G36" s="465">
        <v>27.258096028287536</v>
      </c>
      <c r="H36" s="465">
        <v>27.625237633360513</v>
      </c>
      <c r="I36" s="465">
        <v>27.83001802425823</v>
      </c>
      <c r="J36" s="465">
        <v>29.104467508693482</v>
      </c>
      <c r="K36" s="465">
        <v>30.564682761320029</v>
      </c>
      <c r="L36" s="465">
        <v>29.014792598830503</v>
      </c>
      <c r="M36" s="465">
        <v>27.340137040052266</v>
      </c>
      <c r="N36" s="465">
        <v>27.089248238279524</v>
      </c>
      <c r="O36" s="465">
        <v>26.659853626196494</v>
      </c>
      <c r="P36" s="465">
        <v>26.478815826821972</v>
      </c>
      <c r="Q36" s="465">
        <v>26.357083297396649</v>
      </c>
      <c r="R36" s="465">
        <v>26.451110331104232</v>
      </c>
    </row>
    <row r="37" spans="2:18" ht="13.5" customHeight="1">
      <c r="B37" s="464" t="s">
        <v>1061</v>
      </c>
      <c r="C37" s="464" t="s">
        <v>1061</v>
      </c>
      <c r="D37" s="465">
        <v>23.638680138835149</v>
      </c>
      <c r="E37" s="465">
        <v>24.237842091560807</v>
      </c>
      <c r="F37" s="465">
        <v>19.361604762088248</v>
      </c>
      <c r="G37" s="465">
        <v>19.509277649227023</v>
      </c>
      <c r="H37" s="465">
        <v>21.158435098706221</v>
      </c>
      <c r="I37" s="465">
        <v>21.561762626931202</v>
      </c>
      <c r="J37" s="465">
        <v>22.366362456266952</v>
      </c>
      <c r="K37" s="465">
        <v>24.260087235327607</v>
      </c>
      <c r="L37" s="465">
        <v>21.907906838210945</v>
      </c>
      <c r="M37" s="465">
        <v>23.110313627670848</v>
      </c>
      <c r="N37" s="465">
        <v>23.45498958088044</v>
      </c>
      <c r="O37" s="465">
        <v>22.829120927923043</v>
      </c>
      <c r="P37" s="465">
        <v>22.869608396987058</v>
      </c>
      <c r="Q37" s="465">
        <v>23.074014688073959</v>
      </c>
      <c r="R37" s="465">
        <v>23.25174157339805</v>
      </c>
    </row>
    <row r="38" spans="2:18" ht="13.5" customHeight="1">
      <c r="B38" s="464" t="s">
        <v>127</v>
      </c>
      <c r="C38" s="464" t="s">
        <v>127</v>
      </c>
      <c r="D38" s="465">
        <v>13.365739723061804</v>
      </c>
      <c r="E38" s="465">
        <v>11.049544479785109</v>
      </c>
      <c r="F38" s="465">
        <v>9.7607051368985296</v>
      </c>
      <c r="G38" s="465">
        <v>11.99056378140347</v>
      </c>
      <c r="H38" s="465">
        <v>12.819704126788437</v>
      </c>
      <c r="I38" s="465">
        <v>12.52260283376185</v>
      </c>
      <c r="J38" s="465">
        <v>12.080928767502567</v>
      </c>
      <c r="K38" s="465">
        <v>13.339366592761081</v>
      </c>
      <c r="L38" s="465">
        <v>14.270388839237111</v>
      </c>
      <c r="M38" s="465">
        <v>14.245481169916715</v>
      </c>
      <c r="N38" s="465">
        <v>13.900742978017178</v>
      </c>
      <c r="O38" s="465">
        <v>13.761341362372558</v>
      </c>
      <c r="P38" s="465">
        <v>13.687211238533973</v>
      </c>
      <c r="Q38" s="465">
        <v>13.694330232633215</v>
      </c>
      <c r="R38" s="465">
        <v>13.656003282163699</v>
      </c>
    </row>
    <row r="39" spans="2:18" ht="13.5" customHeight="1">
      <c r="B39" s="464" t="s">
        <v>1062</v>
      </c>
      <c r="C39" s="464" t="s">
        <v>1062</v>
      </c>
      <c r="D39" s="465">
        <v>27.050429351992673</v>
      </c>
      <c r="E39" s="465">
        <v>22.845856785757011</v>
      </c>
      <c r="F39" s="465">
        <v>20.868326535402801</v>
      </c>
      <c r="G39" s="465">
        <v>18.366654259539622</v>
      </c>
      <c r="H39" s="465">
        <v>20.318955869297117</v>
      </c>
      <c r="I39" s="465">
        <v>20.748014288128662</v>
      </c>
      <c r="J39" s="465">
        <v>23.508086731647623</v>
      </c>
      <c r="K39" s="465">
        <v>21.786162279585806</v>
      </c>
      <c r="L39" s="465">
        <v>21.230747010586146</v>
      </c>
      <c r="M39" s="465">
        <v>21.391581804726066</v>
      </c>
      <c r="N39" s="465">
        <v>20.522210148538541</v>
      </c>
      <c r="O39" s="465">
        <v>19.284005522709297</v>
      </c>
      <c r="P39" s="465">
        <v>18.239703975602648</v>
      </c>
      <c r="Q39" s="465">
        <v>17.302980554014688</v>
      </c>
      <c r="R39" s="465">
        <v>17.302980554014688</v>
      </c>
    </row>
    <row r="40" spans="2:18" ht="13.5" customHeight="1">
      <c r="B40" s="464" t="s">
        <v>1063</v>
      </c>
      <c r="C40" s="464" t="s">
        <v>1063</v>
      </c>
      <c r="D40" s="465">
        <v>27.4917330620573</v>
      </c>
      <c r="E40" s="465">
        <v>26.604710278550836</v>
      </c>
      <c r="F40" s="465">
        <v>25.146535041491958</v>
      </c>
      <c r="G40" s="465">
        <v>25.09193947994866</v>
      </c>
      <c r="H40" s="465">
        <v>26.362727913482235</v>
      </c>
      <c r="I40" s="465">
        <v>28.182413870411853</v>
      </c>
      <c r="J40" s="465">
        <v>33.425315300508693</v>
      </c>
      <c r="K40" s="465">
        <v>31.560050943450019</v>
      </c>
      <c r="L40" s="465">
        <v>31.741403659859944</v>
      </c>
      <c r="M40" s="465">
        <v>28.617862143589427</v>
      </c>
      <c r="N40" s="465">
        <v>29.790507574660367</v>
      </c>
      <c r="O40" s="465">
        <v>27.91059554793026</v>
      </c>
      <c r="P40" s="465">
        <v>27.431074943275473</v>
      </c>
      <c r="Q40" s="465">
        <v>27.140882381929011</v>
      </c>
      <c r="R40" s="465">
        <v>26.8210428540817</v>
      </c>
    </row>
    <row r="41" spans="2:18" ht="13.5" customHeight="1">
      <c r="B41" s="464" t="s">
        <v>237</v>
      </c>
      <c r="C41" s="464" t="s">
        <v>237</v>
      </c>
      <c r="D41" s="465">
        <v>23.099864737102326</v>
      </c>
      <c r="E41" s="465">
        <v>22.94690564439771</v>
      </c>
      <c r="F41" s="465">
        <v>23.963091528369031</v>
      </c>
      <c r="G41" s="465">
        <v>22.463022398761591</v>
      </c>
      <c r="H41" s="465">
        <v>22.5523497609618</v>
      </c>
      <c r="I41" s="465">
        <v>24.192231933235885</v>
      </c>
      <c r="J41" s="465">
        <v>26.563706123645058</v>
      </c>
      <c r="K41" s="465">
        <v>25.743555557231801</v>
      </c>
      <c r="L41" s="465">
        <v>26.872702601962111</v>
      </c>
      <c r="M41" s="465">
        <v>26.18360619137518</v>
      </c>
      <c r="N41" s="465">
        <v>26.298032441898172</v>
      </c>
      <c r="O41" s="465">
        <v>26.377715994069927</v>
      </c>
      <c r="P41" s="465">
        <v>26.482057422555982</v>
      </c>
      <c r="Q41" s="465">
        <v>26.732906074982544</v>
      </c>
      <c r="R41" s="465">
        <v>27.397977347657982</v>
      </c>
    </row>
    <row r="42" spans="2:18" ht="13.5" customHeight="1">
      <c r="B42" s="464" t="s">
        <v>1064</v>
      </c>
      <c r="C42" s="464" t="s">
        <v>1064</v>
      </c>
      <c r="D42" s="465">
        <v>13.510413094674014</v>
      </c>
      <c r="E42" s="465">
        <v>12.378445851590795</v>
      </c>
      <c r="F42" s="465">
        <v>9.9762380176392966</v>
      </c>
      <c r="G42" s="465">
        <v>12.812407757280148</v>
      </c>
      <c r="H42" s="465">
        <v>16.839684242149282</v>
      </c>
      <c r="I42" s="465">
        <v>18.667560239710518</v>
      </c>
      <c r="J42" s="465">
        <v>10.747243520715243</v>
      </c>
      <c r="K42" s="465">
        <v>9.7589527582731996</v>
      </c>
      <c r="L42" s="465">
        <v>12.210687782968192</v>
      </c>
      <c r="M42" s="465">
        <v>12.585207703304274</v>
      </c>
      <c r="N42" s="465">
        <v>12.932070981556098</v>
      </c>
      <c r="O42" s="465">
        <v>13.05451623314719</v>
      </c>
      <c r="P42" s="465">
        <v>13.34060659907686</v>
      </c>
      <c r="Q42" s="465">
        <v>13.321525527535533</v>
      </c>
      <c r="R42" s="465">
        <v>13.368894381835867</v>
      </c>
    </row>
    <row r="43" spans="2:18" ht="13.5" customHeight="1">
      <c r="B43" s="464" t="s">
        <v>1065</v>
      </c>
      <c r="C43" s="464" t="s">
        <v>1065</v>
      </c>
      <c r="D43" s="465">
        <v>27.545276023342289</v>
      </c>
      <c r="E43" s="465">
        <v>31.91643844624971</v>
      </c>
      <c r="F43" s="465">
        <v>38.719160635361369</v>
      </c>
      <c r="G43" s="465">
        <v>33.78431962217541</v>
      </c>
      <c r="H43" s="465">
        <v>30.875388584898229</v>
      </c>
      <c r="I43" s="465">
        <v>28.825502417449545</v>
      </c>
      <c r="J43" s="465">
        <v>29.163668372275286</v>
      </c>
      <c r="K43" s="465">
        <v>27.64227022651502</v>
      </c>
      <c r="L43" s="465">
        <v>28.883070226708625</v>
      </c>
      <c r="M43" s="465">
        <v>30.71723272898646</v>
      </c>
      <c r="N43" s="465">
        <v>28.665407443686934</v>
      </c>
      <c r="O43" s="465">
        <v>29.06045574419376</v>
      </c>
      <c r="P43" s="465">
        <v>29.293244018500193</v>
      </c>
      <c r="Q43" s="465">
        <v>29.521735318958104</v>
      </c>
      <c r="R43" s="465">
        <v>29.707850319180018</v>
      </c>
    </row>
    <row r="44" spans="2:18" ht="13.5" customHeight="1">
      <c r="B44" s="464" t="s">
        <v>1066</v>
      </c>
      <c r="C44" s="464" t="s">
        <v>1066</v>
      </c>
      <c r="D44" s="465">
        <v>17.288562351239626</v>
      </c>
      <c r="E44" s="465">
        <v>17.150793389491863</v>
      </c>
      <c r="F44" s="465">
        <v>16.910659355332335</v>
      </c>
      <c r="G44" s="465">
        <v>16.572574687895251</v>
      </c>
      <c r="H44" s="465">
        <v>16.605926755787657</v>
      </c>
      <c r="I44" s="465">
        <v>16.652702100179177</v>
      </c>
      <c r="J44" s="465">
        <v>16.774049367057923</v>
      </c>
      <c r="K44" s="465">
        <v>17.791596848357997</v>
      </c>
      <c r="L44" s="465">
        <v>18.253450096582046</v>
      </c>
      <c r="M44" s="465">
        <v>18.188333533714303</v>
      </c>
      <c r="N44" s="465">
        <v>18.223825273144882</v>
      </c>
      <c r="O44" s="465">
        <v>18.422378040636012</v>
      </c>
      <c r="P44" s="465">
        <v>18.527838041498963</v>
      </c>
      <c r="Q44" s="465">
        <v>18.523829800583087</v>
      </c>
      <c r="R44" s="465">
        <v>18.51275187532368</v>
      </c>
    </row>
    <row r="45" spans="2:18" ht="13.5" customHeight="1">
      <c r="B45" s="464" t="s">
        <v>243</v>
      </c>
      <c r="C45" s="464" t="s">
        <v>243</v>
      </c>
      <c r="D45" s="465">
        <v>13.565045115327829</v>
      </c>
      <c r="E45" s="465">
        <v>15.123855830933545</v>
      </c>
      <c r="F45" s="465">
        <v>15.023097791841275</v>
      </c>
      <c r="G45" s="465">
        <v>16.282925400330427</v>
      </c>
      <c r="H45" s="465">
        <v>16.18181679705561</v>
      </c>
      <c r="I45" s="465">
        <v>18.293018988580933</v>
      </c>
      <c r="J45" s="465">
        <v>21.38739409009397</v>
      </c>
      <c r="K45" s="465">
        <v>21.56478803215537</v>
      </c>
      <c r="L45" s="465">
        <v>20.710348398320129</v>
      </c>
      <c r="M45" s="465">
        <v>19.368122807883026</v>
      </c>
      <c r="N45" s="465">
        <v>19.128615823882484</v>
      </c>
      <c r="O45" s="465">
        <v>20.0716495954956</v>
      </c>
      <c r="P45" s="465">
        <v>20.246952013921589</v>
      </c>
      <c r="Q45" s="465">
        <v>21.827555444752825</v>
      </c>
      <c r="R45" s="465">
        <v>19.693798866105855</v>
      </c>
    </row>
    <row r="46" spans="2:18">
      <c r="B46" s="464" t="s">
        <v>1067</v>
      </c>
      <c r="C46" s="464" t="s">
        <v>1067</v>
      </c>
      <c r="D46" s="465">
        <v>24.865159738136956</v>
      </c>
      <c r="E46" s="465">
        <v>24.56686854937951</v>
      </c>
      <c r="F46" s="465">
        <v>23.303702189207048</v>
      </c>
      <c r="G46" s="465">
        <v>22.352435851693802</v>
      </c>
      <c r="H46" s="465">
        <v>24.821654263871263</v>
      </c>
      <c r="I46" s="465">
        <v>27.114741115687035</v>
      </c>
      <c r="J46" s="465">
        <v>28.714219351725284</v>
      </c>
      <c r="K46" s="465">
        <v>30.484925116016083</v>
      </c>
      <c r="L46" s="465">
        <v>33.380876960470005</v>
      </c>
      <c r="M46" s="465">
        <v>29.931535173818613</v>
      </c>
      <c r="N46" s="465">
        <v>30.450902548132525</v>
      </c>
      <c r="O46" s="465">
        <v>31.092407084364403</v>
      </c>
      <c r="P46" s="465">
        <v>31.505408946929208</v>
      </c>
      <c r="Q46" s="465">
        <v>31.905207850593726</v>
      </c>
      <c r="R46" s="465">
        <v>32.342172483577649</v>
      </c>
    </row>
    <row r="47" spans="2:18">
      <c r="B47" s="464" t="s">
        <v>128</v>
      </c>
      <c r="C47" s="464" t="s">
        <v>128</v>
      </c>
      <c r="D47" s="465">
        <v>22.754927927582091</v>
      </c>
      <c r="E47" s="465">
        <v>24.173593582387205</v>
      </c>
      <c r="F47" s="465">
        <v>22.230676613966146</v>
      </c>
      <c r="G47" s="465">
        <v>21.529306464588341</v>
      </c>
      <c r="H47" s="465">
        <v>20.479759902090148</v>
      </c>
      <c r="I47" s="465">
        <v>19.811253673597456</v>
      </c>
      <c r="J47" s="465">
        <v>21.251144059602549</v>
      </c>
      <c r="K47" s="465">
        <v>21.875152754896362</v>
      </c>
      <c r="L47" s="465">
        <v>20.743003875616463</v>
      </c>
      <c r="M47" s="465">
        <v>21.48358164914881</v>
      </c>
      <c r="N47" s="465">
        <v>21.436239583898448</v>
      </c>
      <c r="O47" s="465">
        <v>21.522712794068251</v>
      </c>
      <c r="P47" s="465">
        <v>21.392828238003826</v>
      </c>
      <c r="Q47" s="465">
        <v>21.512033244825165</v>
      </c>
      <c r="R47" s="465">
        <v>21.431574345711887</v>
      </c>
    </row>
    <row r="48" spans="2:18">
      <c r="B48" s="464" t="s">
        <v>1068</v>
      </c>
      <c r="C48" s="464" t="s">
        <v>1068</v>
      </c>
      <c r="D48" s="465">
        <v>27.780078192639081</v>
      </c>
      <c r="E48" s="465">
        <v>19.430181067090377</v>
      </c>
      <c r="F48" s="465">
        <v>16.068329531326846</v>
      </c>
      <c r="G48" s="465">
        <v>8.3924714847799624</v>
      </c>
      <c r="H48" s="465">
        <v>14.264084833744365</v>
      </c>
      <c r="I48" s="465">
        <v>13.207489560200106</v>
      </c>
      <c r="J48" s="465">
        <v>11.713383073051897</v>
      </c>
      <c r="K48" s="465">
        <v>9.3348180445351367</v>
      </c>
      <c r="L48" s="465">
        <v>12.732345068823209</v>
      </c>
      <c r="M48" s="465">
        <v>10.49523379753747</v>
      </c>
      <c r="N48" s="465">
        <v>10.764716007864873</v>
      </c>
      <c r="O48" s="465">
        <v>12.912852545976655</v>
      </c>
      <c r="P48" s="465">
        <v>13.445376498686226</v>
      </c>
      <c r="Q48" s="465">
        <v>13.603529775757734</v>
      </c>
      <c r="R48" s="465">
        <v>13.689498671997297</v>
      </c>
    </row>
    <row r="49" spans="2:18">
      <c r="B49" s="464" t="s">
        <v>1069</v>
      </c>
      <c r="C49" s="464" t="s">
        <v>1069</v>
      </c>
      <c r="D49" s="465">
        <v>24.327743763723294</v>
      </c>
      <c r="E49" s="465">
        <v>27.647528517757507</v>
      </c>
      <c r="F49" s="465">
        <v>23.927610478303677</v>
      </c>
      <c r="G49" s="465">
        <v>24.973681544063382</v>
      </c>
      <c r="H49" s="465">
        <v>27.732562902419133</v>
      </c>
      <c r="I49" s="465">
        <v>29.820342112568689</v>
      </c>
      <c r="J49" s="465">
        <v>34.081497207689502</v>
      </c>
      <c r="K49" s="465">
        <v>30.433029515293093</v>
      </c>
      <c r="L49" s="465">
        <v>28.689147197836583</v>
      </c>
      <c r="M49" s="465">
        <v>28.299072782040369</v>
      </c>
      <c r="N49" s="465">
        <v>28.897141534347977</v>
      </c>
      <c r="O49" s="465">
        <v>27.790501466358275</v>
      </c>
      <c r="P49" s="465">
        <v>28.155225786867778</v>
      </c>
      <c r="Q49" s="465">
        <v>26.306827310806074</v>
      </c>
      <c r="R49" s="465">
        <v>25.635736304573459</v>
      </c>
    </row>
    <row r="50" spans="2:18">
      <c r="B50" s="466" t="s">
        <v>1070</v>
      </c>
      <c r="C50" s="466" t="s">
        <v>1070</v>
      </c>
      <c r="D50" s="467">
        <v>20.444611270690228</v>
      </c>
      <c r="E50" s="467">
        <v>20.518522796791004</v>
      </c>
      <c r="F50" s="467">
        <v>23.656820346594944</v>
      </c>
      <c r="G50" s="467">
        <v>28.731604655842741</v>
      </c>
      <c r="H50" s="467">
        <v>20.292288126450689</v>
      </c>
      <c r="I50" s="467">
        <v>11.707532493780786</v>
      </c>
      <c r="J50" s="467">
        <v>12.524310781007911</v>
      </c>
      <c r="K50" s="467">
        <v>17.52698037280787</v>
      </c>
      <c r="L50" s="467">
        <v>18.069427607158335</v>
      </c>
      <c r="M50" s="467">
        <v>18.533174354572928</v>
      </c>
      <c r="N50" s="467">
        <v>17.795150998159599</v>
      </c>
      <c r="O50" s="467">
        <v>17.786583532858799</v>
      </c>
      <c r="P50" s="467">
        <v>17.780179085530321</v>
      </c>
      <c r="Q50" s="467">
        <v>17.77728610571549</v>
      </c>
      <c r="R50" s="467">
        <v>17.769997583025891</v>
      </c>
    </row>
    <row r="51" spans="2:18" ht="6" customHeight="1">
      <c r="B51" s="464"/>
      <c r="C51" s="464"/>
      <c r="D51" s="465"/>
      <c r="E51" s="465"/>
      <c r="F51" s="465"/>
      <c r="G51" s="465"/>
      <c r="H51" s="465"/>
      <c r="I51" s="465"/>
      <c r="J51" s="465"/>
      <c r="K51" s="465"/>
      <c r="L51" s="465"/>
      <c r="M51" s="465"/>
      <c r="N51" s="465"/>
      <c r="O51" s="465"/>
      <c r="P51" s="465"/>
      <c r="Q51" s="465"/>
      <c r="R51" s="465"/>
    </row>
    <row r="52" spans="2:18" ht="12.75" customHeight="1">
      <c r="B52" s="613" t="s">
        <v>927</v>
      </c>
      <c r="C52" s="613"/>
      <c r="D52" s="613"/>
      <c r="E52" s="613"/>
      <c r="F52" s="613"/>
      <c r="G52" s="613"/>
      <c r="H52" s="613"/>
      <c r="I52" s="613"/>
      <c r="J52" s="613"/>
      <c r="K52" s="613"/>
      <c r="L52" s="613"/>
      <c r="M52" s="613"/>
      <c r="N52" s="613"/>
      <c r="O52" s="613"/>
      <c r="P52" s="613"/>
      <c r="Q52" s="468"/>
      <c r="R52" s="468"/>
    </row>
    <row r="53" spans="2:18">
      <c r="B53" s="613" t="s">
        <v>1071</v>
      </c>
      <c r="C53" s="613"/>
      <c r="D53" s="613"/>
      <c r="E53" s="613"/>
      <c r="F53" s="613"/>
      <c r="G53" s="613"/>
      <c r="H53" s="613"/>
      <c r="I53" s="613"/>
      <c r="J53" s="613"/>
      <c r="K53" s="613"/>
      <c r="L53" s="613"/>
      <c r="M53" s="613"/>
      <c r="N53" s="613"/>
      <c r="O53" s="613"/>
      <c r="P53" s="613"/>
      <c r="Q53" s="468"/>
      <c r="R53" s="468"/>
    </row>
    <row r="54" spans="2:18" ht="26.25" customHeight="1">
      <c r="B54" s="613"/>
      <c r="C54" s="613"/>
      <c r="D54" s="613"/>
      <c r="E54" s="613"/>
      <c r="F54" s="613"/>
      <c r="G54" s="613"/>
      <c r="H54" s="613"/>
      <c r="I54" s="613"/>
      <c r="J54" s="613"/>
      <c r="K54" s="613"/>
      <c r="L54" s="613"/>
      <c r="M54" s="613"/>
      <c r="N54" s="613"/>
      <c r="O54" s="613"/>
      <c r="P54" s="613"/>
      <c r="Q54" s="613"/>
      <c r="R54" s="510"/>
    </row>
    <row r="55" spans="2:18" ht="23.25" customHeight="1">
      <c r="B55" s="621"/>
      <c r="C55" s="613"/>
      <c r="D55" s="613"/>
      <c r="E55" s="613"/>
      <c r="F55" s="613"/>
      <c r="G55" s="613"/>
      <c r="H55" s="613"/>
      <c r="I55" s="613"/>
      <c r="J55" s="613"/>
      <c r="K55" s="613"/>
      <c r="L55" s="613"/>
      <c r="M55" s="613"/>
      <c r="N55" s="613"/>
      <c r="O55" s="613"/>
      <c r="P55" s="613"/>
      <c r="Q55" s="468"/>
      <c r="R55" s="468"/>
    </row>
    <row r="56" spans="2:18">
      <c r="B56" s="464"/>
      <c r="C56" s="464"/>
      <c r="D56" s="469"/>
      <c r="E56" s="469"/>
      <c r="F56" s="469"/>
      <c r="G56" s="469"/>
      <c r="H56" s="469"/>
      <c r="I56" s="469"/>
      <c r="J56" s="469"/>
      <c r="K56" s="469"/>
      <c r="L56" s="469"/>
      <c r="M56" s="469"/>
      <c r="N56" s="469"/>
      <c r="O56" s="469"/>
      <c r="P56" s="469"/>
      <c r="Q56" s="469"/>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sheetData>
  <mergeCells count="6">
    <mergeCell ref="B55:P55"/>
    <mergeCell ref="B2:R2"/>
    <mergeCell ref="B3:R3"/>
    <mergeCell ref="B52:P52"/>
    <mergeCell ref="B53:P53"/>
    <mergeCell ref="B54:Q54"/>
  </mergeCells>
  <conditionalFormatting sqref="B12:R50">
    <cfRule type="expression" dxfId="15" priority="1">
      <formula>MOD(ROW(),2)=0</formula>
    </cfRule>
  </conditionalFormatting>
  <conditionalFormatting sqref="D11:R11">
    <cfRule type="expression" dxfId="14" priority="2">
      <formula>MOD(ROW(),2)=0</formula>
    </cfRule>
  </conditionalFormatting>
  <pageMargins left="0.7" right="0.7" top="0.75" bottom="0.75" header="0.3" footer="0.3"/>
  <pageSetup scale="1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1019-C78F-4060-8F86-9581ADF1485D}">
  <sheetPr codeName="Sheet24">
    <pageSetUpPr fitToPage="1"/>
  </sheetPr>
  <dimension ref="A1:AH77"/>
  <sheetViews>
    <sheetView showGridLines="0" zoomScale="110" zoomScaleNormal="110" workbookViewId="0">
      <pane xSplit="3" ySplit="4" topLeftCell="D20"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7.85546875" style="451" customWidth="1"/>
    <col min="3" max="3" width="37.5703125" style="451" hidden="1" customWidth="1" outlineLevel="1"/>
    <col min="4" max="4" width="8.140625" style="452" customWidth="1" collapsed="1"/>
    <col min="5" max="18" width="8.140625" style="452" customWidth="1"/>
    <col min="19" max="34" width="9.140625" style="496"/>
    <col min="35" max="16384" width="9.140625" style="451"/>
  </cols>
  <sheetData>
    <row r="1" spans="2:20" ht="15.75" customHeight="1">
      <c r="B1" s="514"/>
      <c r="C1" s="514"/>
      <c r="D1" s="514"/>
      <c r="E1" s="514"/>
      <c r="F1" s="514"/>
      <c r="G1" s="514"/>
      <c r="H1" s="514"/>
      <c r="I1" s="514"/>
      <c r="J1" s="514"/>
      <c r="K1" s="514"/>
      <c r="L1" s="514"/>
      <c r="M1" s="514"/>
      <c r="N1" s="514"/>
      <c r="O1" s="514"/>
      <c r="P1" s="514"/>
      <c r="Q1" s="514"/>
      <c r="R1" s="514"/>
    </row>
    <row r="2" spans="2:20" ht="15" customHeight="1">
      <c r="B2" s="616" t="str">
        <f>"Table A21. Low-Income Developing Countries: General Government Gross Debt, "&amp;D4&amp;"–"&amp;RIGHT(R4,2)</f>
        <v>Table A21. Low-Income Developing Countries: General Government Gross Debt, 2014–28</v>
      </c>
      <c r="C2" s="616"/>
      <c r="D2" s="616"/>
      <c r="E2" s="616"/>
      <c r="F2" s="616"/>
      <c r="G2" s="616"/>
      <c r="H2" s="616"/>
      <c r="I2" s="616"/>
      <c r="J2" s="616"/>
      <c r="K2" s="616"/>
      <c r="L2" s="616"/>
      <c r="M2" s="616"/>
      <c r="N2" s="616"/>
      <c r="O2" s="616"/>
      <c r="P2" s="616"/>
      <c r="Q2" s="616"/>
      <c r="R2" s="616"/>
    </row>
    <row r="3" spans="2:20">
      <c r="B3" s="619" t="s">
        <v>81</v>
      </c>
      <c r="C3" s="620"/>
      <c r="D3" s="620"/>
      <c r="E3" s="620"/>
      <c r="F3" s="620"/>
      <c r="G3" s="620"/>
      <c r="H3" s="620"/>
      <c r="I3" s="620"/>
      <c r="J3" s="620"/>
      <c r="K3" s="620"/>
      <c r="L3" s="620"/>
      <c r="M3" s="620"/>
      <c r="N3" s="620"/>
      <c r="O3" s="620"/>
      <c r="P3" s="620"/>
      <c r="Q3" s="620"/>
      <c r="R3" s="620"/>
    </row>
    <row r="4" spans="2:20"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row>
    <row r="5" spans="2:20" ht="14.1" customHeight="1">
      <c r="B5" s="459" t="s">
        <v>196</v>
      </c>
      <c r="C5" s="491" t="s">
        <v>125</v>
      </c>
      <c r="D5" s="461">
        <v>31.076426683475201</v>
      </c>
      <c r="E5" s="461">
        <v>35.297969012536214</v>
      </c>
      <c r="F5" s="461">
        <v>38.658490154103177</v>
      </c>
      <c r="G5" s="461">
        <v>41.251280064824243</v>
      </c>
      <c r="H5" s="461">
        <v>41.67201450392583</v>
      </c>
      <c r="I5" s="461">
        <v>42.807445493468869</v>
      </c>
      <c r="J5" s="461">
        <v>48.405618155047577</v>
      </c>
      <c r="K5" s="461">
        <v>48.396484331426244</v>
      </c>
      <c r="L5" s="461">
        <v>48.218989656642535</v>
      </c>
      <c r="M5" s="461">
        <v>48.283999350283509</v>
      </c>
      <c r="N5" s="461">
        <v>46.846352480517261</v>
      </c>
      <c r="O5" s="461">
        <v>45.80954430504822</v>
      </c>
      <c r="P5" s="461">
        <v>44.944154852074526</v>
      </c>
      <c r="Q5" s="461">
        <v>44.187774054103066</v>
      </c>
      <c r="R5" s="461">
        <v>43.196578375562567</v>
      </c>
    </row>
    <row r="6" spans="2:20" ht="14.1" customHeight="1">
      <c r="B6" s="462" t="s">
        <v>129</v>
      </c>
      <c r="C6" s="491" t="s">
        <v>1033</v>
      </c>
      <c r="D6" s="461">
        <v>20.747188177056621</v>
      </c>
      <c r="E6" s="461">
        <v>24.645143195594343</v>
      </c>
      <c r="F6" s="461">
        <v>28.984273854290795</v>
      </c>
      <c r="G6" s="461">
        <v>31.32542290904432</v>
      </c>
      <c r="H6" s="461">
        <v>32.3956708732603</v>
      </c>
      <c r="I6" s="461">
        <v>33.918942528520667</v>
      </c>
      <c r="J6" s="461">
        <v>39.045842306387279</v>
      </c>
      <c r="K6" s="461">
        <v>40.235044739646966</v>
      </c>
      <c r="L6" s="461">
        <v>40.943886125246316</v>
      </c>
      <c r="M6" s="461">
        <v>41.211955845301986</v>
      </c>
      <c r="N6" s="461">
        <v>40.774060650563563</v>
      </c>
      <c r="O6" s="461">
        <v>41.224923152102861</v>
      </c>
      <c r="P6" s="461">
        <v>41.828415930951429</v>
      </c>
      <c r="Q6" s="461">
        <v>42.324020658697364</v>
      </c>
      <c r="R6" s="461">
        <v>42.854998705643055</v>
      </c>
    </row>
    <row r="7" spans="2:20" ht="14.1" customHeight="1">
      <c r="B7" s="462" t="s">
        <v>108</v>
      </c>
      <c r="C7" s="491" t="s">
        <v>1034</v>
      </c>
      <c r="D7" s="461">
        <v>35.998825200300885</v>
      </c>
      <c r="E7" s="461">
        <v>36.658996446801325</v>
      </c>
      <c r="F7" s="461">
        <v>37.156822409272486</v>
      </c>
      <c r="G7" s="461">
        <v>36.910095442643716</v>
      </c>
      <c r="H7" s="461">
        <v>36.911766469472738</v>
      </c>
      <c r="I7" s="461">
        <v>37.017608424090234</v>
      </c>
      <c r="J7" s="461">
        <v>39.181530917530424</v>
      </c>
      <c r="K7" s="461">
        <v>41.008821942035588</v>
      </c>
      <c r="L7" s="461">
        <v>41.450197191920431</v>
      </c>
      <c r="M7" s="461">
        <v>42.274763249283055</v>
      </c>
      <c r="N7" s="461">
        <v>41.962058535563365</v>
      </c>
      <c r="O7" s="461">
        <v>41.799955500272468</v>
      </c>
      <c r="P7" s="461">
        <v>41.530391259347667</v>
      </c>
      <c r="Q7" s="461">
        <v>41.024908378564525</v>
      </c>
      <c r="R7" s="461">
        <v>40.316694593263989</v>
      </c>
      <c r="T7" s="102"/>
    </row>
    <row r="8" spans="2:20" ht="14.1" customHeight="1">
      <c r="B8" s="462" t="s">
        <v>117</v>
      </c>
      <c r="C8" s="491" t="s">
        <v>1035</v>
      </c>
      <c r="D8" s="461">
        <v>28.814779046029926</v>
      </c>
      <c r="E8" s="461">
        <v>30.785456701286389</v>
      </c>
      <c r="F8" s="461">
        <v>32.011904827662342</v>
      </c>
      <c r="G8" s="461">
        <v>32.827306854090097</v>
      </c>
      <c r="H8" s="461">
        <v>34.769015677496576</v>
      </c>
      <c r="I8" s="461">
        <v>37.633007426014586</v>
      </c>
      <c r="J8" s="461">
        <v>42.695875824279149</v>
      </c>
      <c r="K8" s="461">
        <v>41.498093084053437</v>
      </c>
      <c r="L8" s="461">
        <v>41.503751036736304</v>
      </c>
      <c r="M8" s="461">
        <v>38.895425947925972</v>
      </c>
      <c r="N8" s="461">
        <v>39.562094586316604</v>
      </c>
      <c r="O8" s="461">
        <v>39.591939064101268</v>
      </c>
      <c r="P8" s="461">
        <v>40.150246272477069</v>
      </c>
      <c r="Q8" s="461">
        <v>39.308625499214429</v>
      </c>
      <c r="R8" s="461">
        <v>40.478771136604074</v>
      </c>
    </row>
    <row r="9" spans="2:20" ht="14.1" customHeight="1">
      <c r="B9" s="462" t="s">
        <v>1036</v>
      </c>
      <c r="C9" s="491" t="s">
        <v>1037</v>
      </c>
      <c r="D9" s="461">
        <v>27.264394384982694</v>
      </c>
      <c r="E9" s="461">
        <v>32.795512932334887</v>
      </c>
      <c r="F9" s="461">
        <v>37.084057169891203</v>
      </c>
      <c r="G9" s="461">
        <v>40.21373368839037</v>
      </c>
      <c r="H9" s="461">
        <v>41.591609449492765</v>
      </c>
      <c r="I9" s="461">
        <v>43.119715419892408</v>
      </c>
      <c r="J9" s="461">
        <v>49.562858723054276</v>
      </c>
      <c r="K9" s="461">
        <v>50.833482315943087</v>
      </c>
      <c r="L9" s="461">
        <v>51.483671114993122</v>
      </c>
      <c r="M9" s="461">
        <v>50.719045607704764</v>
      </c>
      <c r="N9" s="461">
        <v>48.59211792361328</v>
      </c>
      <c r="O9" s="461">
        <v>47.300543918287495</v>
      </c>
      <c r="P9" s="461">
        <v>46.297421682154479</v>
      </c>
      <c r="Q9" s="461">
        <v>45.287664453092482</v>
      </c>
      <c r="R9" s="461">
        <v>44.169049471076519</v>
      </c>
    </row>
    <row r="10" spans="2:20" ht="14.1" customHeight="1">
      <c r="B10" s="462" t="s">
        <v>232</v>
      </c>
      <c r="C10" s="491" t="s">
        <v>1038</v>
      </c>
      <c r="D10" s="461">
        <v>38.612829245289937</v>
      </c>
      <c r="E10" s="461">
        <v>43.958533790232771</v>
      </c>
      <c r="F10" s="461">
        <v>51.317399745393445</v>
      </c>
      <c r="G10" s="461">
        <v>65.716405572036976</v>
      </c>
      <c r="H10" s="461">
        <v>67.672423082889878</v>
      </c>
      <c r="I10" s="461">
        <v>70.796341745005307</v>
      </c>
      <c r="J10" s="461">
        <v>90.644354411289029</v>
      </c>
      <c r="K10" s="461">
        <v>74.897164007034846</v>
      </c>
      <c r="L10" s="461">
        <v>63.168776386348789</v>
      </c>
      <c r="M10" s="461">
        <v>64.448739676613528</v>
      </c>
      <c r="N10" s="461">
        <v>62.169719250724214</v>
      </c>
      <c r="O10" s="461">
        <v>58.068147622934376</v>
      </c>
      <c r="P10" s="461">
        <v>54.630453697939124</v>
      </c>
      <c r="Q10" s="461">
        <v>54.494651345450222</v>
      </c>
      <c r="R10" s="461">
        <v>52.061312838431412</v>
      </c>
    </row>
    <row r="11" spans="2:20" ht="16.5" customHeight="1">
      <c r="B11" s="451" t="s">
        <v>1039</v>
      </c>
      <c r="C11" s="451" t="s">
        <v>1039</v>
      </c>
      <c r="D11" s="465">
        <v>8.7002910496838872</v>
      </c>
      <c r="E11" s="465">
        <v>9.1540828566464345</v>
      </c>
      <c r="F11" s="465">
        <v>8.4372660972378934</v>
      </c>
      <c r="G11" s="465">
        <v>7.9976601991652574</v>
      </c>
      <c r="H11" s="465">
        <v>7.3844129423332117</v>
      </c>
      <c r="I11" s="465">
        <v>6.1304099028920724</v>
      </c>
      <c r="J11" s="465">
        <v>7.3974947301983773</v>
      </c>
      <c r="K11" s="465" t="s">
        <v>139</v>
      </c>
      <c r="L11" s="465" t="s">
        <v>139</v>
      </c>
      <c r="M11" s="465" t="s">
        <v>145</v>
      </c>
      <c r="N11" s="465" t="s">
        <v>145</v>
      </c>
      <c r="O11" s="465" t="s">
        <v>145</v>
      </c>
      <c r="P11" s="465" t="s">
        <v>145</v>
      </c>
      <c r="Q11" s="465" t="s">
        <v>145</v>
      </c>
      <c r="R11" s="465" t="s">
        <v>145</v>
      </c>
    </row>
    <row r="12" spans="2:20" ht="13.5" customHeight="1">
      <c r="B12" s="464" t="s">
        <v>1040</v>
      </c>
      <c r="C12" s="464" t="s">
        <v>1040</v>
      </c>
      <c r="D12" s="465">
        <v>28.682663744269405</v>
      </c>
      <c r="E12" s="465">
        <v>28.205818893669381</v>
      </c>
      <c r="F12" s="465">
        <v>27.71982273583874</v>
      </c>
      <c r="G12" s="465">
        <v>28.306011954017045</v>
      </c>
      <c r="H12" s="465">
        <v>29.552905316713513</v>
      </c>
      <c r="I12" s="465">
        <v>31.951373532602279</v>
      </c>
      <c r="J12" s="465">
        <v>34.509389825266886</v>
      </c>
      <c r="K12" s="465">
        <v>35.614439757455472</v>
      </c>
      <c r="L12" s="465">
        <v>39.087926437049987</v>
      </c>
      <c r="M12" s="465">
        <v>42.064126754853945</v>
      </c>
      <c r="N12" s="465">
        <v>42.389315895216804</v>
      </c>
      <c r="O12" s="465">
        <v>42.7552775948296</v>
      </c>
      <c r="P12" s="465">
        <v>43.149329272652317</v>
      </c>
      <c r="Q12" s="465">
        <v>43.280450928537647</v>
      </c>
      <c r="R12" s="465">
        <v>43.614401503117726</v>
      </c>
    </row>
    <row r="13" spans="2:20" ht="13.5" customHeight="1">
      <c r="B13" s="464" t="s">
        <v>1041</v>
      </c>
      <c r="C13" s="464" t="s">
        <v>1041</v>
      </c>
      <c r="D13" s="465">
        <v>22.282074662420339</v>
      </c>
      <c r="E13" s="465">
        <v>30.90022982960765</v>
      </c>
      <c r="F13" s="465">
        <v>35.923349756933895</v>
      </c>
      <c r="G13" s="465">
        <v>39.59846315929687</v>
      </c>
      <c r="H13" s="465">
        <v>41.080350699003127</v>
      </c>
      <c r="I13" s="465">
        <v>41.229642352024939</v>
      </c>
      <c r="J13" s="465">
        <v>46.142076683369375</v>
      </c>
      <c r="K13" s="465">
        <v>50.288956150632913</v>
      </c>
      <c r="L13" s="465">
        <v>52.386366936556826</v>
      </c>
      <c r="M13" s="465">
        <v>52.780768257392708</v>
      </c>
      <c r="N13" s="465">
        <v>51.644899957652257</v>
      </c>
      <c r="O13" s="465">
        <v>50.352848174280581</v>
      </c>
      <c r="P13" s="465">
        <v>49.479353043606636</v>
      </c>
      <c r="Q13" s="465">
        <v>48.700533443048705</v>
      </c>
      <c r="R13" s="465">
        <v>47.427269043749327</v>
      </c>
    </row>
    <row r="14" spans="2:20" ht="13.5" customHeight="1">
      <c r="B14" s="464" t="s">
        <v>1042</v>
      </c>
      <c r="C14" s="464" t="s">
        <v>1042</v>
      </c>
      <c r="D14" s="465">
        <v>24.877881882946287</v>
      </c>
      <c r="E14" s="465">
        <v>31.112331090244165</v>
      </c>
      <c r="F14" s="465">
        <v>33.463433841766033</v>
      </c>
      <c r="G14" s="465">
        <v>33.162334090619012</v>
      </c>
      <c r="H14" s="465">
        <v>38.212026282092516</v>
      </c>
      <c r="I14" s="465">
        <v>42.044703592964595</v>
      </c>
      <c r="J14" s="465">
        <v>44.869578573971538</v>
      </c>
      <c r="K14" s="465">
        <v>48.209273309188042</v>
      </c>
      <c r="L14" s="465">
        <v>54.308619993161024</v>
      </c>
      <c r="M14" s="465">
        <v>57.958439438468254</v>
      </c>
      <c r="N14" s="465">
        <v>60.2124622630541</v>
      </c>
      <c r="O14" s="465">
        <v>61.258048237052719</v>
      </c>
      <c r="P14" s="465">
        <v>61.281381830912707</v>
      </c>
      <c r="Q14" s="465">
        <v>60.065632191117516</v>
      </c>
      <c r="R14" s="465">
        <v>58.938785407373359</v>
      </c>
    </row>
    <row r="15" spans="2:20" ht="13.5" customHeight="1">
      <c r="B15" s="464" t="s">
        <v>1043</v>
      </c>
      <c r="C15" s="464" t="s">
        <v>1043</v>
      </c>
      <c r="D15" s="465">
        <v>31.901196539066923</v>
      </c>
      <c r="E15" s="465">
        <v>31.156690566040581</v>
      </c>
      <c r="F15" s="465">
        <v>29.124169150089831</v>
      </c>
      <c r="G15" s="465">
        <v>29.969489120451787</v>
      </c>
      <c r="H15" s="465">
        <v>28.447229706623389</v>
      </c>
      <c r="I15" s="465">
        <v>28.215945154718085</v>
      </c>
      <c r="J15" s="465">
        <v>34.374574007410367</v>
      </c>
      <c r="K15" s="465">
        <v>35.880292298588735</v>
      </c>
      <c r="L15" s="465">
        <v>36.533000310850177</v>
      </c>
      <c r="M15" s="465">
        <v>37.542162039276299</v>
      </c>
      <c r="N15" s="465">
        <v>38.790901720328307</v>
      </c>
      <c r="O15" s="465">
        <v>39.688808383601241</v>
      </c>
      <c r="P15" s="465">
        <v>40.41565072528573</v>
      </c>
      <c r="Q15" s="465">
        <v>41.167659422035406</v>
      </c>
      <c r="R15" s="465">
        <v>41.595446947790151</v>
      </c>
    </row>
    <row r="16" spans="2:20" ht="13.5" customHeight="1">
      <c r="B16" s="464" t="s">
        <v>1044</v>
      </c>
      <c r="C16" s="464" t="s">
        <v>1044</v>
      </c>
      <c r="D16" s="465">
        <v>20.707187769214446</v>
      </c>
      <c r="E16" s="465">
        <v>31.620029833035129</v>
      </c>
      <c r="F16" s="465">
        <v>32.108196096222699</v>
      </c>
      <c r="G16" s="465">
        <v>36.538657592112536</v>
      </c>
      <c r="H16" s="465">
        <v>38.335340387888188</v>
      </c>
      <c r="I16" s="465">
        <v>41.597371304908798</v>
      </c>
      <c r="J16" s="465">
        <v>44.85753845314558</v>
      </c>
      <c r="K16" s="465">
        <v>46.783880748321437</v>
      </c>
      <c r="L16" s="465">
        <v>46.431818502106303</v>
      </c>
      <c r="M16" s="465">
        <v>42.773955581891919</v>
      </c>
      <c r="N16" s="465">
        <v>40.38530427364109</v>
      </c>
      <c r="O16" s="465">
        <v>38.523940223663786</v>
      </c>
      <c r="P16" s="465">
        <v>37.546551676975668</v>
      </c>
      <c r="Q16" s="465">
        <v>37.152602200008985</v>
      </c>
      <c r="R16" s="465">
        <v>36.806077734798862</v>
      </c>
    </row>
    <row r="17" spans="2:33" ht="13.5" customHeight="1">
      <c r="B17" s="464" t="s">
        <v>241</v>
      </c>
      <c r="C17" s="464" t="s">
        <v>241</v>
      </c>
      <c r="D17" s="465">
        <v>38.237772937670016</v>
      </c>
      <c r="E17" s="465">
        <v>42.52741174694151</v>
      </c>
      <c r="F17" s="465">
        <v>50.046811128050791</v>
      </c>
      <c r="G17" s="465">
        <v>48.694687153319741</v>
      </c>
      <c r="H17" s="465">
        <v>48.407307905254271</v>
      </c>
      <c r="I17" s="465">
        <v>52.313600016568309</v>
      </c>
      <c r="J17" s="465">
        <v>54.056716061593733</v>
      </c>
      <c r="K17" s="465">
        <v>55.913332442830622</v>
      </c>
      <c r="L17" s="465">
        <v>50.367413254002436</v>
      </c>
      <c r="M17" s="465">
        <v>43.681628328676148</v>
      </c>
      <c r="N17" s="465">
        <v>40.115128336568326</v>
      </c>
      <c r="O17" s="465">
        <v>36.365067802831192</v>
      </c>
      <c r="P17" s="465">
        <v>32.962015153333319</v>
      </c>
      <c r="Q17" s="465">
        <v>31.031710322216348</v>
      </c>
      <c r="R17" s="465">
        <v>28.759520374179253</v>
      </c>
    </row>
    <row r="18" spans="2:33" ht="13.5" customHeight="1">
      <c r="B18" s="464" t="s">
        <v>1045</v>
      </c>
      <c r="C18" s="464" t="s">
        <v>1045</v>
      </c>
      <c r="D18" s="465">
        <v>15.732087867993751</v>
      </c>
      <c r="E18" s="465">
        <v>16.046869679294808</v>
      </c>
      <c r="F18" s="465">
        <v>18.79200856317296</v>
      </c>
      <c r="G18" s="465">
        <v>18.469600424823945</v>
      </c>
      <c r="H18" s="465">
        <v>14.777764383320674</v>
      </c>
      <c r="I18" s="465">
        <v>14.846866668237205</v>
      </c>
      <c r="J18" s="465">
        <v>16.673807914877056</v>
      </c>
      <c r="K18" s="465">
        <v>16.294160141509305</v>
      </c>
      <c r="L18" s="465">
        <v>14.58011350044174</v>
      </c>
      <c r="M18" s="465">
        <v>11.033463171461678</v>
      </c>
      <c r="N18" s="465">
        <v>8.9822907783425006</v>
      </c>
      <c r="O18" s="465">
        <v>7.1775822200540391</v>
      </c>
      <c r="P18" s="465">
        <v>5.7561013536573657</v>
      </c>
      <c r="Q18" s="465">
        <v>4.591565504047364</v>
      </c>
      <c r="R18" s="465">
        <v>3.618349206646355</v>
      </c>
      <c r="T18" s="499"/>
      <c r="U18" s="499"/>
      <c r="V18" s="499"/>
      <c r="W18" s="499"/>
      <c r="X18" s="499"/>
      <c r="Y18" s="499"/>
      <c r="Z18" s="499"/>
      <c r="AA18" s="499"/>
      <c r="AB18" s="499"/>
      <c r="AC18" s="499"/>
      <c r="AD18" s="499"/>
      <c r="AE18" s="499"/>
      <c r="AF18" s="499"/>
      <c r="AG18" s="499"/>
    </row>
    <row r="19" spans="2:33" ht="13.5" customHeight="1">
      <c r="B19" s="464" t="s">
        <v>1046</v>
      </c>
      <c r="C19" s="464" t="s">
        <v>1046</v>
      </c>
      <c r="D19" s="465">
        <v>42.32297044428455</v>
      </c>
      <c r="E19" s="465">
        <v>74.184097099622718</v>
      </c>
      <c r="F19" s="465">
        <v>90.531874176915849</v>
      </c>
      <c r="G19" s="465">
        <v>94.377419947454712</v>
      </c>
      <c r="H19" s="465">
        <v>76.974391522410471</v>
      </c>
      <c r="I19" s="465">
        <v>84.019043534772891</v>
      </c>
      <c r="J19" s="465">
        <v>112.10937079176644</v>
      </c>
      <c r="K19" s="465">
        <v>107.92134935726658</v>
      </c>
      <c r="L19" s="465">
        <v>99.564504829348877</v>
      </c>
      <c r="M19" s="465">
        <v>96.455927168026449</v>
      </c>
      <c r="N19" s="465">
        <v>89.23794858445639</v>
      </c>
      <c r="O19" s="465">
        <v>85.859785166131928</v>
      </c>
      <c r="P19" s="465">
        <v>81.723531579806462</v>
      </c>
      <c r="Q19" s="465">
        <v>76.725861158629684</v>
      </c>
      <c r="R19" s="465">
        <v>70.159153421414715</v>
      </c>
    </row>
    <row r="20" spans="2:33" ht="13.5" customHeight="1">
      <c r="B20" s="464" t="s">
        <v>239</v>
      </c>
      <c r="C20" s="464" t="s">
        <v>239</v>
      </c>
      <c r="D20" s="465">
        <v>26.70996084244711</v>
      </c>
      <c r="E20" s="465">
        <v>29.171964549596741</v>
      </c>
      <c r="F20" s="465">
        <v>31.117863806220065</v>
      </c>
      <c r="G20" s="465">
        <v>32.595287489718082</v>
      </c>
      <c r="H20" s="465">
        <v>35.316552223212362</v>
      </c>
      <c r="I20" s="465">
        <v>37.516630041960461</v>
      </c>
      <c r="J20" s="465">
        <v>46.348643569180737</v>
      </c>
      <c r="K20" s="465">
        <v>50.852288537898559</v>
      </c>
      <c r="L20" s="465">
        <v>56.750247972662791</v>
      </c>
      <c r="M20" s="465">
        <v>63.267600783017976</v>
      </c>
      <c r="N20" s="465">
        <v>60.633303411364125</v>
      </c>
      <c r="O20" s="465">
        <v>57.337132514033186</v>
      </c>
      <c r="P20" s="465">
        <v>55.063991786966191</v>
      </c>
      <c r="Q20" s="465">
        <v>53.731235008743752</v>
      </c>
      <c r="R20" s="465">
        <v>51.625086181373256</v>
      </c>
    </row>
    <row r="21" spans="2:33" ht="13.5" customHeight="1">
      <c r="B21" s="464" t="s">
        <v>1048</v>
      </c>
      <c r="C21" s="464" t="s">
        <v>1048</v>
      </c>
      <c r="D21" s="465">
        <v>44.166291258973295</v>
      </c>
      <c r="E21" s="465">
        <v>50.67115488577226</v>
      </c>
      <c r="F21" s="465">
        <v>53.125894792349996</v>
      </c>
      <c r="G21" s="465">
        <v>55.211186740844319</v>
      </c>
      <c r="H21" s="465">
        <v>58.386171444008149</v>
      </c>
      <c r="I21" s="465">
        <v>55.78295997608884</v>
      </c>
      <c r="J21" s="465">
        <v>53.899752064947094</v>
      </c>
      <c r="K21" s="465">
        <v>53.787937107347858</v>
      </c>
      <c r="L21" s="465">
        <v>46.371822624791811</v>
      </c>
      <c r="M21" s="465">
        <v>37.562858767995252</v>
      </c>
      <c r="N21" s="465">
        <v>33.25457061869114</v>
      </c>
      <c r="O21" s="465">
        <v>30.919547370009447</v>
      </c>
      <c r="P21" s="465">
        <v>29.753451661752788</v>
      </c>
      <c r="Q21" s="465">
        <v>29.061863416092681</v>
      </c>
      <c r="R21" s="465">
        <v>28.490171023429294</v>
      </c>
    </row>
    <row r="22" spans="2:33" ht="13.5" customHeight="1">
      <c r="B22" s="464" t="s">
        <v>1049</v>
      </c>
      <c r="C22" s="464" t="s">
        <v>1049</v>
      </c>
      <c r="D22" s="465">
        <v>50.110816820841251</v>
      </c>
      <c r="E22" s="465">
        <v>53.8957381415604</v>
      </c>
      <c r="F22" s="465">
        <v>55.942374191072965</v>
      </c>
      <c r="G22" s="465">
        <v>56.983904818603115</v>
      </c>
      <c r="H22" s="465">
        <v>61.976162480821095</v>
      </c>
      <c r="I22" s="465">
        <v>58.343857185095281</v>
      </c>
      <c r="J22" s="465">
        <v>72.337427285643642</v>
      </c>
      <c r="K22" s="465">
        <v>79.60111168647839</v>
      </c>
      <c r="L22" s="465">
        <v>88.766744349326856</v>
      </c>
      <c r="M22" s="465">
        <v>98.718775367679157</v>
      </c>
      <c r="N22" s="465">
        <v>92.841477808284367</v>
      </c>
      <c r="O22" s="465">
        <v>91.641677947912143</v>
      </c>
      <c r="P22" s="465">
        <v>90.427322423313313</v>
      </c>
      <c r="Q22" s="465">
        <v>88.561026620038987</v>
      </c>
      <c r="R22" s="465">
        <v>86.840534064901235</v>
      </c>
      <c r="T22" s="102"/>
      <c r="U22" s="102"/>
      <c r="V22" s="102"/>
      <c r="W22" s="102"/>
      <c r="X22" s="102"/>
    </row>
    <row r="23" spans="2:33" ht="13.5" customHeight="1">
      <c r="B23" s="464" t="s">
        <v>1050</v>
      </c>
      <c r="C23" s="464" t="s">
        <v>1050</v>
      </c>
      <c r="D23" s="465">
        <v>35.158097783471177</v>
      </c>
      <c r="E23" s="465">
        <v>44.389274835827827</v>
      </c>
      <c r="F23" s="465">
        <v>43.00927616020163</v>
      </c>
      <c r="G23" s="465">
        <v>41.883957418653303</v>
      </c>
      <c r="H23" s="465">
        <v>39.266744138577124</v>
      </c>
      <c r="I23" s="465">
        <v>38.575854048102698</v>
      </c>
      <c r="J23" s="465">
        <v>47.492483115472439</v>
      </c>
      <c r="K23" s="465">
        <v>40.647045345692653</v>
      </c>
      <c r="L23" s="465">
        <v>33.404277219755002</v>
      </c>
      <c r="M23" s="465">
        <v>30.044230190908138</v>
      </c>
      <c r="N23" s="465">
        <v>30.084367126279769</v>
      </c>
      <c r="O23" s="465">
        <v>30.349477171207802</v>
      </c>
      <c r="P23" s="465">
        <v>28.846602295208385</v>
      </c>
      <c r="Q23" s="465">
        <v>28.609080799879372</v>
      </c>
      <c r="R23" s="465">
        <v>28.443394280681055</v>
      </c>
    </row>
    <row r="24" spans="2:33" ht="13.5" customHeight="1">
      <c r="B24" s="464" t="s">
        <v>1051</v>
      </c>
      <c r="C24" s="464" t="s">
        <v>1051</v>
      </c>
      <c r="D24" s="465">
        <v>20.802449531546625</v>
      </c>
      <c r="E24" s="465">
        <v>21.74085962341433</v>
      </c>
      <c r="F24" s="465">
        <v>21.553335048865979</v>
      </c>
      <c r="G24" s="465">
        <v>18.94096090579739</v>
      </c>
      <c r="H24" s="465">
        <v>21.540312234499087</v>
      </c>
      <c r="I24" s="465">
        <v>25.431163116276025</v>
      </c>
      <c r="J24" s="465">
        <v>22.018186958203199</v>
      </c>
      <c r="K24" s="465">
        <v>25.597330910905903</v>
      </c>
      <c r="L24" s="465">
        <v>25.010006073805307</v>
      </c>
      <c r="M24" s="465">
        <v>20.286744183307352</v>
      </c>
      <c r="N24" s="465">
        <v>19.898636368736071</v>
      </c>
      <c r="O24" s="465">
        <v>19.949286045875812</v>
      </c>
      <c r="P24" s="465">
        <v>20.430716634052366</v>
      </c>
      <c r="Q24" s="465">
        <v>21.182446300990176</v>
      </c>
      <c r="R24" s="465">
        <v>22.845869951161273</v>
      </c>
    </row>
    <row r="25" spans="2:33" ht="15" customHeight="1">
      <c r="B25" s="464" t="s">
        <v>1052</v>
      </c>
      <c r="C25" s="464" t="s">
        <v>1052</v>
      </c>
      <c r="D25" s="465">
        <v>35.02894295676591</v>
      </c>
      <c r="E25" s="465">
        <v>38.319328522184371</v>
      </c>
      <c r="F25" s="465">
        <v>39.422631459330589</v>
      </c>
      <c r="G25" s="465">
        <v>41.285477676660967</v>
      </c>
      <c r="H25" s="465">
        <v>42.407560610684548</v>
      </c>
      <c r="I25" s="465">
        <v>42.926574330087583</v>
      </c>
      <c r="J25" s="465">
        <v>52.713725447735463</v>
      </c>
      <c r="K25" s="465">
        <v>50.314369221515719</v>
      </c>
      <c r="L25" s="465">
        <v>50.021629855388504</v>
      </c>
      <c r="M25" s="465" t="s">
        <v>145</v>
      </c>
      <c r="N25" s="465" t="s">
        <v>145</v>
      </c>
      <c r="O25" s="465" t="s">
        <v>145</v>
      </c>
      <c r="P25" s="465" t="s">
        <v>145</v>
      </c>
      <c r="Q25" s="465" t="s">
        <v>145</v>
      </c>
      <c r="R25" s="465" t="s">
        <v>145</v>
      </c>
      <c r="S25" s="451"/>
      <c r="T25" s="451"/>
    </row>
    <row r="26" spans="2:33" ht="13.5" customHeight="1">
      <c r="B26" s="464" t="s">
        <v>126</v>
      </c>
      <c r="C26" s="464" t="s">
        <v>126</v>
      </c>
      <c r="D26" s="465">
        <v>41.281030911421702</v>
      </c>
      <c r="E26" s="465">
        <v>45.831722112779183</v>
      </c>
      <c r="F26" s="465">
        <v>50.398551266669898</v>
      </c>
      <c r="G26" s="465">
        <v>53.865569167939697</v>
      </c>
      <c r="H26" s="465">
        <v>56.448928367419114</v>
      </c>
      <c r="I26" s="465">
        <v>59.08464571736117</v>
      </c>
      <c r="J26" s="465">
        <v>67.834733761454657</v>
      </c>
      <c r="K26" s="465">
        <v>66.967592072165601</v>
      </c>
      <c r="L26" s="465">
        <v>67.936192584948444</v>
      </c>
      <c r="M26" s="465">
        <v>66.64620098846558</v>
      </c>
      <c r="N26" s="465">
        <v>65.434245719534999</v>
      </c>
      <c r="O26" s="465">
        <v>64.117567021394947</v>
      </c>
      <c r="P26" s="465">
        <v>62.725612113468799</v>
      </c>
      <c r="Q26" s="465">
        <v>61.099900248434679</v>
      </c>
      <c r="R26" s="465">
        <v>59.505291458920496</v>
      </c>
    </row>
    <row r="27" spans="2:33" ht="13.5" customHeight="1">
      <c r="B27" s="464" t="s">
        <v>1053</v>
      </c>
      <c r="C27" s="464" t="s">
        <v>1053</v>
      </c>
      <c r="D27" s="465">
        <v>53.596785772185264</v>
      </c>
      <c r="E27" s="465">
        <v>67.087345295145482</v>
      </c>
      <c r="F27" s="465">
        <v>59.07281847907506</v>
      </c>
      <c r="G27" s="465">
        <v>58.786106611797706</v>
      </c>
      <c r="H27" s="465">
        <v>54.817991044451951</v>
      </c>
      <c r="I27" s="465">
        <v>51.602906048156463</v>
      </c>
      <c r="J27" s="465">
        <v>67.647612254023343</v>
      </c>
      <c r="K27" s="465">
        <v>59.470312370704171</v>
      </c>
      <c r="L27" s="465">
        <v>53.528256816463546</v>
      </c>
      <c r="M27" s="465">
        <v>52.956580715341175</v>
      </c>
      <c r="N27" s="465">
        <v>52.92130035437669</v>
      </c>
      <c r="O27" s="465">
        <v>53.712224571286306</v>
      </c>
      <c r="P27" s="465">
        <v>54.455291436955413</v>
      </c>
      <c r="Q27" s="465">
        <v>55.614249279546321</v>
      </c>
      <c r="R27" s="465">
        <v>57.106899174227379</v>
      </c>
    </row>
    <row r="28" spans="2:33" ht="13.5" customHeight="1">
      <c r="B28" s="464" t="s">
        <v>1054</v>
      </c>
      <c r="C28" s="464" t="s">
        <v>1054</v>
      </c>
      <c r="D28" s="465">
        <v>53.534106052026573</v>
      </c>
      <c r="E28" s="465">
        <v>53.052209455926871</v>
      </c>
      <c r="F28" s="465">
        <v>54.474308544121783</v>
      </c>
      <c r="G28" s="465">
        <v>57.198236502044075</v>
      </c>
      <c r="H28" s="465">
        <v>60.587933608412669</v>
      </c>
      <c r="I28" s="465">
        <v>69.12943959494703</v>
      </c>
      <c r="J28" s="465">
        <v>75.971838927059778</v>
      </c>
      <c r="K28" s="465">
        <v>92.357796464754784</v>
      </c>
      <c r="L28" s="465">
        <v>128.51434855315182</v>
      </c>
      <c r="M28" s="465">
        <v>123.0267878121881</v>
      </c>
      <c r="N28" s="465">
        <v>119.93581822011481</v>
      </c>
      <c r="O28" s="465">
        <v>115.84481209047148</v>
      </c>
      <c r="P28" s="465">
        <v>112.22902892116966</v>
      </c>
      <c r="Q28" s="465">
        <v>108.13005746957887</v>
      </c>
      <c r="R28" s="465">
        <v>104.11219296127219</v>
      </c>
    </row>
    <row r="29" spans="2:33" ht="13.5" customHeight="1">
      <c r="B29" s="464" t="s">
        <v>1055</v>
      </c>
      <c r="C29" s="464" t="s">
        <v>1055</v>
      </c>
      <c r="D29" s="465">
        <v>37.848493933255931</v>
      </c>
      <c r="E29" s="465">
        <v>44.062298751656733</v>
      </c>
      <c r="F29" s="465">
        <v>40.28076562895361</v>
      </c>
      <c r="G29" s="465">
        <v>40.135992613961882</v>
      </c>
      <c r="H29" s="465">
        <v>42.892784412323159</v>
      </c>
      <c r="I29" s="465">
        <v>40.955362931161474</v>
      </c>
      <c r="J29" s="465">
        <v>51.177039213863054</v>
      </c>
      <c r="K29" s="465">
        <v>52.323485548539409</v>
      </c>
      <c r="L29" s="465">
        <v>56.988736654937568</v>
      </c>
      <c r="M29" s="465">
        <v>53.102483471954585</v>
      </c>
      <c r="N29" s="465">
        <v>51.960570842652217</v>
      </c>
      <c r="O29" s="465">
        <v>52.240854414769935</v>
      </c>
      <c r="P29" s="465">
        <v>53.136285823013232</v>
      </c>
      <c r="Q29" s="465">
        <v>54.600888513833546</v>
      </c>
      <c r="R29" s="465">
        <v>55.975922422252786</v>
      </c>
    </row>
    <row r="30" spans="2:33" ht="13.5" customHeight="1">
      <c r="B30" s="464" t="s">
        <v>1056</v>
      </c>
      <c r="C30" s="464" t="s">
        <v>1056</v>
      </c>
      <c r="D30" s="465">
        <v>33.514960159008588</v>
      </c>
      <c r="E30" s="465">
        <v>35.45512402882111</v>
      </c>
      <c r="F30" s="465">
        <v>37.080286418232603</v>
      </c>
      <c r="G30" s="465">
        <v>40.256037602018822</v>
      </c>
      <c r="H30" s="465">
        <v>43.908211776709479</v>
      </c>
      <c r="I30" s="465">
        <v>45.301832164869097</v>
      </c>
      <c r="J30" s="465">
        <v>54.790198520970911</v>
      </c>
      <c r="K30" s="465">
        <v>61.610711466286801</v>
      </c>
      <c r="L30" s="465">
        <v>70.139469802140624</v>
      </c>
      <c r="M30" s="465">
        <v>72.244764800469511</v>
      </c>
      <c r="N30" s="465">
        <v>69.373303404308686</v>
      </c>
      <c r="O30" s="465">
        <v>66.635905089877767</v>
      </c>
      <c r="P30" s="465">
        <v>63.521829614056813</v>
      </c>
      <c r="Q30" s="465">
        <v>60.42265916105125</v>
      </c>
      <c r="R30" s="465">
        <v>56.629420583296607</v>
      </c>
    </row>
    <row r="31" spans="2:33" ht="13.5" customHeight="1">
      <c r="B31" s="464" t="s">
        <v>240</v>
      </c>
      <c r="C31" s="464" t="s">
        <v>240</v>
      </c>
      <c r="D31" s="465">
        <v>26.906656645011189</v>
      </c>
      <c r="E31" s="465">
        <v>30.661117934936332</v>
      </c>
      <c r="F31" s="465">
        <v>36.018384744357022</v>
      </c>
      <c r="G31" s="465">
        <v>35.984310613610084</v>
      </c>
      <c r="H31" s="465">
        <v>37.524254419037092</v>
      </c>
      <c r="I31" s="465">
        <v>40.725466191971876</v>
      </c>
      <c r="J31" s="465">
        <v>46.927331536893512</v>
      </c>
      <c r="K31" s="465">
        <v>50.681405973316529</v>
      </c>
      <c r="L31" s="465">
        <v>53.217832258611153</v>
      </c>
      <c r="M31" s="465">
        <v>54.105380157706747</v>
      </c>
      <c r="N31" s="465">
        <v>54.862003319735365</v>
      </c>
      <c r="O31" s="465">
        <v>55.380652801418186</v>
      </c>
      <c r="P31" s="465">
        <v>55.520867961149868</v>
      </c>
      <c r="Q31" s="465">
        <v>55.959292414848335</v>
      </c>
      <c r="R31" s="465">
        <v>56.68380973721704</v>
      </c>
    </row>
    <row r="32" spans="2:33" ht="13.5" customHeight="1">
      <c r="B32" s="464" t="s">
        <v>1057</v>
      </c>
      <c r="C32" s="464" t="s">
        <v>1057</v>
      </c>
      <c r="D32" s="465">
        <v>34.961120443654131</v>
      </c>
      <c r="E32" s="465">
        <v>42.381143711619082</v>
      </c>
      <c r="F32" s="465">
        <v>39.232417587430348</v>
      </c>
      <c r="G32" s="465">
        <v>34.860447992268817</v>
      </c>
      <c r="H32" s="465">
        <v>31.799547915286556</v>
      </c>
      <c r="I32" s="465">
        <v>28.792071119566764</v>
      </c>
      <c r="J32" s="465">
        <v>36.633312516071406</v>
      </c>
      <c r="K32" s="465">
        <v>33.094582976089157</v>
      </c>
      <c r="L32" s="465">
        <v>33.52287987306201</v>
      </c>
      <c r="M32" s="465">
        <v>34.500124816964814</v>
      </c>
      <c r="N32" s="465">
        <v>36.718773744184759</v>
      </c>
      <c r="O32" s="465">
        <v>36.918829537888961</v>
      </c>
      <c r="P32" s="465">
        <v>36.917478603776452</v>
      </c>
      <c r="Q32" s="465">
        <v>36.850719180507497</v>
      </c>
      <c r="R32" s="465">
        <v>34.948634394107856</v>
      </c>
    </row>
    <row r="33" spans="2:30" ht="13.5" customHeight="1">
      <c r="B33" s="464" t="s">
        <v>1058</v>
      </c>
      <c r="C33" s="464" t="s">
        <v>1058</v>
      </c>
      <c r="D33" s="465">
        <v>64.34068482099083</v>
      </c>
      <c r="E33" s="465">
        <v>87.425960366835639</v>
      </c>
      <c r="F33" s="465">
        <v>126.18835402624214</v>
      </c>
      <c r="G33" s="465">
        <v>104.14997101146805</v>
      </c>
      <c r="H33" s="465">
        <v>106.74769259105696</v>
      </c>
      <c r="I33" s="465">
        <v>99.045512174533073</v>
      </c>
      <c r="J33" s="465">
        <v>119.96133126962182</v>
      </c>
      <c r="K33" s="465">
        <v>107.20297802575654</v>
      </c>
      <c r="L33" s="465">
        <v>76.142044437091286</v>
      </c>
      <c r="M33" s="465">
        <v>102.79572198063387</v>
      </c>
      <c r="N33" s="465">
        <v>103.14783539660452</v>
      </c>
      <c r="O33" s="465">
        <v>101.42737440756837</v>
      </c>
      <c r="P33" s="465">
        <v>97.788412416271981</v>
      </c>
      <c r="Q33" s="465">
        <v>82.865942586743401</v>
      </c>
      <c r="R33" s="465">
        <v>67.590047513785805</v>
      </c>
    </row>
    <row r="34" spans="2:30" ht="13.5" customHeight="1">
      <c r="B34" s="464" t="s">
        <v>1059</v>
      </c>
      <c r="C34" s="464" t="s">
        <v>1059</v>
      </c>
      <c r="D34" s="465">
        <v>35.222218693986093</v>
      </c>
      <c r="E34" s="465">
        <v>36.374043652301104</v>
      </c>
      <c r="F34" s="465">
        <v>38.334389358081737</v>
      </c>
      <c r="G34" s="465">
        <v>38.470072377718765</v>
      </c>
      <c r="H34" s="465">
        <v>40.415435177155047</v>
      </c>
      <c r="I34" s="465">
        <v>38.752776029339643</v>
      </c>
      <c r="J34" s="465">
        <v>39.275698612817031</v>
      </c>
      <c r="K34" s="465">
        <v>65.530516953772917</v>
      </c>
      <c r="L34" s="465">
        <v>63.896046332039134</v>
      </c>
      <c r="M34" s="465">
        <v>61.307610491833785</v>
      </c>
      <c r="N34" s="465">
        <v>63.260639664604398</v>
      </c>
      <c r="O34" s="465">
        <v>65.361669530270362</v>
      </c>
      <c r="P34" s="465">
        <v>67.345107466097048</v>
      </c>
      <c r="Q34" s="465">
        <v>66.494694194654969</v>
      </c>
      <c r="R34" s="465">
        <v>65.177079827588187</v>
      </c>
    </row>
    <row r="35" spans="2:30" ht="13.5" customHeight="1">
      <c r="B35" s="464" t="s">
        <v>242</v>
      </c>
      <c r="C35" s="464" t="s">
        <v>242</v>
      </c>
      <c r="D35" s="465">
        <v>27.551020565736611</v>
      </c>
      <c r="E35" s="465">
        <v>25.730446368684362</v>
      </c>
      <c r="F35" s="465">
        <v>24.957343912689762</v>
      </c>
      <c r="G35" s="465">
        <v>24.989107517811824</v>
      </c>
      <c r="H35" s="465">
        <v>31.087851119823085</v>
      </c>
      <c r="I35" s="465">
        <v>34.030067481607254</v>
      </c>
      <c r="J35" s="465">
        <v>43.307442304178764</v>
      </c>
      <c r="K35" s="465">
        <v>44.046355977624316</v>
      </c>
      <c r="L35" s="465">
        <v>43.830362920587653</v>
      </c>
      <c r="M35" s="465">
        <v>47.824092889767932</v>
      </c>
      <c r="N35" s="465">
        <v>48.761546302388545</v>
      </c>
      <c r="O35" s="465">
        <v>49.814714951343653</v>
      </c>
      <c r="P35" s="465">
        <v>50.156453735652597</v>
      </c>
      <c r="Q35" s="465">
        <v>50.013794761738815</v>
      </c>
      <c r="R35" s="465">
        <v>49.882581212960574</v>
      </c>
    </row>
    <row r="36" spans="2:30" ht="13.5" customHeight="1">
      <c r="B36" s="464" t="s">
        <v>1060</v>
      </c>
      <c r="C36" s="464" t="s">
        <v>1060</v>
      </c>
      <c r="D36" s="465">
        <v>28.689616347590242</v>
      </c>
      <c r="E36" s="465">
        <v>28.910783149081254</v>
      </c>
      <c r="F36" s="465">
        <v>30.91591550506514</v>
      </c>
      <c r="G36" s="465">
        <v>33.777954730128741</v>
      </c>
      <c r="H36" s="465">
        <v>37.365570569019958</v>
      </c>
      <c r="I36" s="465">
        <v>41.408470542892601</v>
      </c>
      <c r="J36" s="465">
        <v>47.697723801220057</v>
      </c>
      <c r="K36" s="465">
        <v>47.552350156590265</v>
      </c>
      <c r="L36" s="465">
        <v>45.955956442333104</v>
      </c>
      <c r="M36" s="465">
        <v>44.520380888795856</v>
      </c>
      <c r="N36" s="465">
        <v>45.013401411312785</v>
      </c>
      <c r="O36" s="465">
        <v>45.397130330670194</v>
      </c>
      <c r="P36" s="465">
        <v>46.533866966765444</v>
      </c>
      <c r="Q36" s="465">
        <v>46.80537988414018</v>
      </c>
      <c r="R36" s="465">
        <v>46.105873523836806</v>
      </c>
    </row>
    <row r="37" spans="2:30" ht="13.5" customHeight="1">
      <c r="B37" s="464" t="s">
        <v>1061</v>
      </c>
      <c r="C37" s="464" t="s">
        <v>1061</v>
      </c>
      <c r="D37" s="465">
        <v>22.085880261958984</v>
      </c>
      <c r="E37" s="465">
        <v>29.870102999418851</v>
      </c>
      <c r="F37" s="465">
        <v>32.826826585492491</v>
      </c>
      <c r="G37" s="465">
        <v>36.507145068982645</v>
      </c>
      <c r="H37" s="465">
        <v>39.527512310829856</v>
      </c>
      <c r="I37" s="465">
        <v>40.529998087517214</v>
      </c>
      <c r="J37" s="465">
        <v>44.970742716456279</v>
      </c>
      <c r="K37" s="465">
        <v>51.337607835031683</v>
      </c>
      <c r="L37" s="465">
        <v>51.075502313495235</v>
      </c>
      <c r="M37" s="465">
        <v>52.516933954280972</v>
      </c>
      <c r="N37" s="465">
        <v>49.365657577135593</v>
      </c>
      <c r="O37" s="465">
        <v>48.094928947841012</v>
      </c>
      <c r="P37" s="465">
        <v>47.240563899155063</v>
      </c>
      <c r="Q37" s="465">
        <v>46.681713172862302</v>
      </c>
      <c r="R37" s="465">
        <v>46.278330574919266</v>
      </c>
    </row>
    <row r="38" spans="2:30" ht="15.75" customHeight="1">
      <c r="B38" s="464" t="s">
        <v>1074</v>
      </c>
      <c r="C38" s="464" t="s">
        <v>127</v>
      </c>
      <c r="D38" s="465">
        <v>17.540750381750232</v>
      </c>
      <c r="E38" s="465">
        <v>20.328343060898867</v>
      </c>
      <c r="F38" s="465">
        <v>23.410089471741198</v>
      </c>
      <c r="G38" s="465">
        <v>25.340443585947259</v>
      </c>
      <c r="H38" s="465">
        <v>27.689268889618585</v>
      </c>
      <c r="I38" s="465">
        <v>29.170478252902321</v>
      </c>
      <c r="J38" s="465">
        <v>34.485945295793528</v>
      </c>
      <c r="K38" s="465">
        <v>36.509543688215473</v>
      </c>
      <c r="L38" s="465">
        <v>38.017324744470571</v>
      </c>
      <c r="M38" s="465">
        <v>38.770795409083135</v>
      </c>
      <c r="N38" s="465">
        <v>39.041992826260767</v>
      </c>
      <c r="O38" s="465">
        <v>40.271134830005025</v>
      </c>
      <c r="P38" s="465">
        <v>41.468520593866295</v>
      </c>
      <c r="Q38" s="465">
        <v>42.300131824031432</v>
      </c>
      <c r="R38" s="465">
        <v>43.12011041738765</v>
      </c>
    </row>
    <row r="39" spans="2:30" ht="13.5" customHeight="1">
      <c r="B39" s="464" t="s">
        <v>1062</v>
      </c>
      <c r="C39" s="464" t="s">
        <v>1062</v>
      </c>
      <c r="D39" s="465">
        <v>26.894612001984481</v>
      </c>
      <c r="E39" s="465">
        <v>29.930761154447811</v>
      </c>
      <c r="F39" s="465">
        <v>33.740131258501002</v>
      </c>
      <c r="G39" s="465">
        <v>32.484370214048731</v>
      </c>
      <c r="H39" s="465">
        <v>36.676180052261174</v>
      </c>
      <c r="I39" s="465">
        <v>40.167014604518144</v>
      </c>
      <c r="J39" s="465">
        <v>48.679991971359563</v>
      </c>
      <c r="K39" s="465">
        <v>52.134648775785983</v>
      </c>
      <c r="L39" s="465">
        <v>49.192543721137355</v>
      </c>
      <c r="M39" s="465">
        <v>47.957299310420176</v>
      </c>
      <c r="N39" s="465">
        <v>47.608968115114934</v>
      </c>
      <c r="O39" s="465">
        <v>46.666384946889856</v>
      </c>
      <c r="P39" s="465">
        <v>43.517750298866325</v>
      </c>
      <c r="Q39" s="465">
        <v>40.511596468606321</v>
      </c>
      <c r="R39" s="465">
        <v>39.316972262550529</v>
      </c>
    </row>
    <row r="40" spans="2:30" ht="13.5" customHeight="1">
      <c r="B40" s="464" t="s">
        <v>1063</v>
      </c>
      <c r="C40" s="464" t="s">
        <v>1063</v>
      </c>
      <c r="D40" s="465">
        <v>28.323370825126158</v>
      </c>
      <c r="E40" s="465">
        <v>32.388615443164149</v>
      </c>
      <c r="F40" s="465">
        <v>36.562695044071766</v>
      </c>
      <c r="G40" s="465">
        <v>41.316542590448528</v>
      </c>
      <c r="H40" s="465">
        <v>44.925794894524266</v>
      </c>
      <c r="I40" s="465">
        <v>49.821746766218595</v>
      </c>
      <c r="J40" s="465">
        <v>65.572390254573023</v>
      </c>
      <c r="K40" s="465">
        <v>66.575018525483102</v>
      </c>
      <c r="L40" s="465">
        <v>64.425223581091345</v>
      </c>
      <c r="M40" s="465">
        <v>67.075495226197617</v>
      </c>
      <c r="N40" s="465">
        <v>71.134135149576295</v>
      </c>
      <c r="O40" s="465">
        <v>70.717880813513673</v>
      </c>
      <c r="P40" s="465">
        <v>68.865042296884667</v>
      </c>
      <c r="Q40" s="465">
        <v>66.982435856461919</v>
      </c>
      <c r="R40" s="465">
        <v>62.873212562817358</v>
      </c>
      <c r="T40" s="102"/>
      <c r="U40" s="102"/>
      <c r="V40" s="102"/>
      <c r="W40" s="102"/>
      <c r="X40" s="102"/>
      <c r="Y40" s="102"/>
      <c r="Z40" s="102"/>
      <c r="AA40" s="102"/>
      <c r="AB40" s="102"/>
      <c r="AC40" s="102"/>
      <c r="AD40" s="102"/>
    </row>
    <row r="41" spans="2:30" ht="15" customHeight="1">
      <c r="B41" s="464" t="s">
        <v>1075</v>
      </c>
      <c r="C41" s="464" t="s">
        <v>237</v>
      </c>
      <c r="D41" s="465">
        <v>42.365708823310065</v>
      </c>
      <c r="E41" s="465">
        <v>44.508725715967131</v>
      </c>
      <c r="F41" s="465">
        <v>47.52358740316302</v>
      </c>
      <c r="G41" s="465">
        <v>61.13942172595408</v>
      </c>
      <c r="H41" s="465">
        <v>61.522878835025232</v>
      </c>
      <c r="I41" s="465">
        <v>63.575252481216523</v>
      </c>
      <c r="J41" s="465">
        <v>69.165524495678241</v>
      </c>
      <c r="K41" s="465">
        <v>73.157298346681245</v>
      </c>
      <c r="L41" s="465">
        <v>74.970226704362503</v>
      </c>
      <c r="M41" s="465">
        <v>73.088333864039981</v>
      </c>
      <c r="N41" s="465">
        <v>69.854892934116094</v>
      </c>
      <c r="O41" s="465">
        <v>69.339288800629987</v>
      </c>
      <c r="P41" s="465">
        <v>69.022037160034159</v>
      </c>
      <c r="Q41" s="465">
        <v>69.014744757084429</v>
      </c>
      <c r="R41" s="465">
        <v>65.038432146288599</v>
      </c>
    </row>
    <row r="42" spans="2:30" ht="13.5" customHeight="1">
      <c r="B42" s="464" t="s">
        <v>1064</v>
      </c>
      <c r="C42" s="464" t="s">
        <v>1064</v>
      </c>
      <c r="D42" s="465">
        <v>84.425689235843194</v>
      </c>
      <c r="E42" s="465">
        <v>93.195965197680138</v>
      </c>
      <c r="F42" s="465">
        <v>109.92954521162062</v>
      </c>
      <c r="G42" s="465">
        <v>149.53924750696427</v>
      </c>
      <c r="H42" s="465">
        <v>186.74138319868965</v>
      </c>
      <c r="I42" s="465">
        <v>200.34850432887757</v>
      </c>
      <c r="J42" s="465">
        <v>275.03560478859885</v>
      </c>
      <c r="K42" s="465">
        <v>187.90380704450766</v>
      </c>
      <c r="L42" s="465">
        <v>127.55218682369144</v>
      </c>
      <c r="M42" s="465">
        <v>151.06143363624912</v>
      </c>
      <c r="N42" s="465">
        <v>166.43868535892935</v>
      </c>
      <c r="O42" s="465">
        <v>163.20529797193967</v>
      </c>
      <c r="P42" s="465">
        <v>160.39324945690129</v>
      </c>
      <c r="Q42" s="465">
        <v>173.21741517600358</v>
      </c>
      <c r="R42" s="465">
        <v>157.72823047998338</v>
      </c>
    </row>
    <row r="43" spans="2:30" ht="13.5" customHeight="1">
      <c r="B43" s="464" t="s">
        <v>1065</v>
      </c>
      <c r="C43" s="464" t="s">
        <v>1065</v>
      </c>
      <c r="D43" s="465">
        <v>27.892330015870776</v>
      </c>
      <c r="E43" s="465">
        <v>35.018931348044276</v>
      </c>
      <c r="F43" s="465">
        <v>42.179214164128318</v>
      </c>
      <c r="G43" s="465">
        <v>46.299797171379083</v>
      </c>
      <c r="H43" s="465">
        <v>46.578064183184168</v>
      </c>
      <c r="I43" s="465">
        <v>43.494513163590355</v>
      </c>
      <c r="J43" s="465">
        <v>49.849505783715848</v>
      </c>
      <c r="K43" s="465">
        <v>42.453136061908282</v>
      </c>
      <c r="L43" s="465">
        <v>34.631164075710949</v>
      </c>
      <c r="M43" s="465">
        <v>32.257540469332518</v>
      </c>
      <c r="N43" s="465">
        <v>31.275510681371237</v>
      </c>
      <c r="O43" s="465">
        <v>31.158639181133687</v>
      </c>
      <c r="P43" s="465">
        <v>31.134119944575971</v>
      </c>
      <c r="Q43" s="465">
        <v>31.012703400477616</v>
      </c>
      <c r="R43" s="465">
        <v>28.864040073319519</v>
      </c>
    </row>
    <row r="44" spans="2:30" ht="13.5" customHeight="1">
      <c r="B44" s="464" t="s">
        <v>1066</v>
      </c>
      <c r="C44" s="464" t="s">
        <v>1066</v>
      </c>
      <c r="D44" s="465">
        <v>36.088948434225465</v>
      </c>
      <c r="E44" s="465">
        <v>39.211816423291886</v>
      </c>
      <c r="F44" s="465">
        <v>39.797162333373684</v>
      </c>
      <c r="G44" s="465">
        <v>40.732399856358356</v>
      </c>
      <c r="H44" s="465">
        <v>40.543762649347023</v>
      </c>
      <c r="I44" s="465">
        <v>39.105686932010173</v>
      </c>
      <c r="J44" s="465">
        <v>39.838087151453728</v>
      </c>
      <c r="K44" s="465">
        <v>42.099448485802689</v>
      </c>
      <c r="L44" s="465">
        <v>41.62240412875812</v>
      </c>
      <c r="M44" s="465">
        <v>40.128368707350972</v>
      </c>
      <c r="N44" s="465">
        <v>38.526182812483903</v>
      </c>
      <c r="O44" s="465">
        <v>37.246542688810322</v>
      </c>
      <c r="P44" s="465">
        <v>36.132788473141716</v>
      </c>
      <c r="Q44" s="465">
        <v>35.044145271670999</v>
      </c>
      <c r="R44" s="465">
        <v>33.965370927238432</v>
      </c>
    </row>
    <row r="45" spans="2:30" ht="13.5" customHeight="1">
      <c r="B45" s="464" t="s">
        <v>243</v>
      </c>
      <c r="C45" s="464" t="s">
        <v>243</v>
      </c>
      <c r="D45" s="465">
        <v>24.767852008191078</v>
      </c>
      <c r="E45" s="465">
        <v>28.459869863845611</v>
      </c>
      <c r="F45" s="465">
        <v>30.996287380512722</v>
      </c>
      <c r="G45" s="465">
        <v>33.634407303333397</v>
      </c>
      <c r="H45" s="465">
        <v>34.944793949998029</v>
      </c>
      <c r="I45" s="465">
        <v>37.644377490562228</v>
      </c>
      <c r="J45" s="465">
        <v>46.324572018950668</v>
      </c>
      <c r="K45" s="465">
        <v>50.63839040797329</v>
      </c>
      <c r="L45" s="465">
        <v>50.834302907982533</v>
      </c>
      <c r="M45" s="465">
        <v>50.220210216043206</v>
      </c>
      <c r="N45" s="465">
        <v>49.249179251117432</v>
      </c>
      <c r="O45" s="465">
        <v>47.699700935591345</v>
      </c>
      <c r="P45" s="465">
        <v>45.412970049620192</v>
      </c>
      <c r="Q45" s="465">
        <v>40.980905497669227</v>
      </c>
      <c r="R45" s="465">
        <v>36.676626984752481</v>
      </c>
    </row>
    <row r="46" spans="2:30">
      <c r="B46" s="464" t="s">
        <v>1067</v>
      </c>
      <c r="C46" s="464" t="s">
        <v>1067</v>
      </c>
      <c r="D46" s="465">
        <v>6.0873547710243638</v>
      </c>
      <c r="E46" s="465">
        <v>6.7241460867444731</v>
      </c>
      <c r="F46" s="465">
        <v>8.1916193690512049</v>
      </c>
      <c r="G46" s="465">
        <v>19.274350445150365</v>
      </c>
      <c r="H46" s="465">
        <v>19.625929962326843</v>
      </c>
      <c r="I46" s="465">
        <v>28.542073869489059</v>
      </c>
      <c r="J46" s="465">
        <v>37.106952566226362</v>
      </c>
      <c r="K46" s="465">
        <v>35.384997703841911</v>
      </c>
      <c r="L46" s="465">
        <v>34.294586755968375</v>
      </c>
      <c r="M46" s="465">
        <v>33.888272505746912</v>
      </c>
      <c r="N46" s="465">
        <v>32.912776538565829</v>
      </c>
      <c r="O46" s="465">
        <v>31.466603594162834</v>
      </c>
      <c r="P46" s="465">
        <v>30.153574613634071</v>
      </c>
      <c r="Q46" s="465">
        <v>28.771411377552035</v>
      </c>
      <c r="R46" s="465">
        <v>27.149513639449342</v>
      </c>
    </row>
    <row r="47" spans="2:30">
      <c r="B47" s="464" t="s">
        <v>128</v>
      </c>
      <c r="C47" s="464" t="s">
        <v>128</v>
      </c>
      <c r="D47" s="465">
        <v>43.642335040715366</v>
      </c>
      <c r="E47" s="465">
        <v>46.115999340311511</v>
      </c>
      <c r="F47" s="465">
        <v>47.548351748725608</v>
      </c>
      <c r="G47" s="465">
        <v>46.319849371748411</v>
      </c>
      <c r="H47" s="465">
        <v>43.513706690736207</v>
      </c>
      <c r="I47" s="465">
        <v>40.800068629417417</v>
      </c>
      <c r="J47" s="465">
        <v>41.262943465843207</v>
      </c>
      <c r="K47" s="465">
        <v>39.309677998410798</v>
      </c>
      <c r="L47" s="465">
        <v>37.091308102721527</v>
      </c>
      <c r="M47" s="465">
        <v>36.297719512938329</v>
      </c>
      <c r="N47" s="465">
        <v>35.352611953956838</v>
      </c>
      <c r="O47" s="465">
        <v>34.645165915577394</v>
      </c>
      <c r="P47" s="465">
        <v>33.795650096160017</v>
      </c>
      <c r="Q47" s="465">
        <v>32.943354133246416</v>
      </c>
      <c r="R47" s="465">
        <v>31.303967639249304</v>
      </c>
    </row>
    <row r="48" spans="2:30">
      <c r="B48" s="464" t="s">
        <v>1068</v>
      </c>
      <c r="C48" s="464" t="s">
        <v>1068</v>
      </c>
      <c r="D48" s="465">
        <v>48.949944349640404</v>
      </c>
      <c r="E48" s="465">
        <v>57.050394129525586</v>
      </c>
      <c r="F48" s="465">
        <v>75.348916900664491</v>
      </c>
      <c r="G48" s="465">
        <v>83.996818745600137</v>
      </c>
      <c r="H48" s="465">
        <v>89.535085054183412</v>
      </c>
      <c r="I48" s="465">
        <v>94.609081128246174</v>
      </c>
      <c r="J48" s="465">
        <v>98.469524342217611</v>
      </c>
      <c r="K48" s="465">
        <v>85.083023261788782</v>
      </c>
      <c r="L48" s="465">
        <v>73.531359417588391</v>
      </c>
      <c r="M48" s="465">
        <v>68.659064118243379</v>
      </c>
      <c r="N48" s="465">
        <v>57.118772989220901</v>
      </c>
      <c r="O48" s="465">
        <v>44.19267530214794</v>
      </c>
      <c r="P48" s="465">
        <v>36.301094683700548</v>
      </c>
      <c r="Q48" s="465">
        <v>33.050221936726658</v>
      </c>
      <c r="R48" s="465">
        <v>30.635166714246477</v>
      </c>
    </row>
    <row r="49" spans="2:18">
      <c r="B49" s="464" t="s">
        <v>1069</v>
      </c>
      <c r="C49" s="464" t="s">
        <v>1069</v>
      </c>
      <c r="D49" s="465">
        <v>33.856768819995374</v>
      </c>
      <c r="E49" s="465">
        <v>61.868897427571923</v>
      </c>
      <c r="F49" s="465">
        <v>58.034613212225892</v>
      </c>
      <c r="G49" s="465">
        <v>63.357779590450868</v>
      </c>
      <c r="H49" s="465">
        <v>75.229470563058868</v>
      </c>
      <c r="I49" s="465">
        <v>94.426069005293073</v>
      </c>
      <c r="J49" s="465">
        <v>140.21061820162097</v>
      </c>
      <c r="K49" s="465">
        <v>110.78973886191901</v>
      </c>
      <c r="L49" s="465" t="s">
        <v>145</v>
      </c>
      <c r="M49" s="465" t="s">
        <v>145</v>
      </c>
      <c r="N49" s="465" t="s">
        <v>145</v>
      </c>
      <c r="O49" s="465" t="s">
        <v>145</v>
      </c>
      <c r="P49" s="465" t="s">
        <v>145</v>
      </c>
      <c r="Q49" s="465" t="s">
        <v>145</v>
      </c>
      <c r="R49" s="465" t="s">
        <v>145</v>
      </c>
    </row>
    <row r="50" spans="2:18">
      <c r="B50" s="466" t="s">
        <v>1070</v>
      </c>
      <c r="C50" s="466" t="s">
        <v>1070</v>
      </c>
      <c r="D50" s="467">
        <v>42.303896230048039</v>
      </c>
      <c r="E50" s="467">
        <v>48.014263296230439</v>
      </c>
      <c r="F50" s="467">
        <v>49.891911828089434</v>
      </c>
      <c r="G50" s="467">
        <v>74.075110390155672</v>
      </c>
      <c r="H50" s="467">
        <v>51.001444609622851</v>
      </c>
      <c r="I50" s="467">
        <v>82.338056793075282</v>
      </c>
      <c r="J50" s="467">
        <v>84.447715972427517</v>
      </c>
      <c r="K50" s="467">
        <v>59.806566962848784</v>
      </c>
      <c r="L50" s="467">
        <v>92.823732096885493</v>
      </c>
      <c r="M50" s="467">
        <v>102.33469066592772</v>
      </c>
      <c r="N50" s="467">
        <v>99.957730292897963</v>
      </c>
      <c r="O50" s="467">
        <v>90.85674149974308</v>
      </c>
      <c r="P50" s="467">
        <v>83.454083803396372</v>
      </c>
      <c r="Q50" s="467">
        <v>83.553038720312614</v>
      </c>
      <c r="R50" s="467">
        <v>72.668739199455075</v>
      </c>
    </row>
    <row r="51" spans="2:18" ht="6" customHeight="1">
      <c r="B51" s="464"/>
      <c r="C51" s="464"/>
      <c r="D51" s="465"/>
      <c r="E51" s="465"/>
      <c r="F51" s="465"/>
      <c r="G51" s="465"/>
      <c r="H51" s="465"/>
      <c r="I51" s="465"/>
      <c r="J51" s="465"/>
      <c r="K51" s="465"/>
      <c r="L51" s="465"/>
      <c r="M51" s="465"/>
      <c r="N51" s="465"/>
      <c r="O51" s="465"/>
      <c r="P51" s="465"/>
      <c r="Q51" s="465"/>
      <c r="R51" s="465"/>
    </row>
    <row r="52" spans="2:18" ht="12" customHeight="1">
      <c r="B52" s="613" t="s">
        <v>927</v>
      </c>
      <c r="C52" s="613"/>
      <c r="D52" s="613"/>
      <c r="E52" s="613"/>
      <c r="F52" s="613"/>
      <c r="G52" s="613"/>
      <c r="H52" s="613"/>
      <c r="I52" s="613"/>
      <c r="J52" s="613"/>
      <c r="K52" s="613"/>
      <c r="L52" s="613"/>
      <c r="M52" s="613"/>
      <c r="N52" s="613"/>
      <c r="O52" s="613"/>
      <c r="P52" s="613"/>
      <c r="Q52" s="468"/>
      <c r="R52" s="468"/>
    </row>
    <row r="53" spans="2:18">
      <c r="B53" s="613" t="s">
        <v>1071</v>
      </c>
      <c r="C53" s="613"/>
      <c r="D53" s="613"/>
      <c r="E53" s="613"/>
      <c r="F53" s="613"/>
      <c r="G53" s="613"/>
      <c r="H53" s="613"/>
      <c r="I53" s="613"/>
      <c r="J53" s="613"/>
      <c r="K53" s="613"/>
      <c r="L53" s="613"/>
      <c r="M53" s="613"/>
      <c r="N53" s="613"/>
      <c r="O53" s="613"/>
      <c r="P53" s="613"/>
      <c r="Q53" s="468"/>
      <c r="R53" s="468"/>
    </row>
    <row r="54" spans="2:18" ht="16.5" customHeight="1">
      <c r="B54" s="618" t="s">
        <v>1076</v>
      </c>
      <c r="C54" s="618"/>
      <c r="D54" s="618"/>
      <c r="E54" s="618"/>
      <c r="F54" s="618"/>
      <c r="G54" s="618"/>
      <c r="H54" s="618"/>
      <c r="I54" s="618"/>
      <c r="J54" s="618"/>
      <c r="K54" s="618"/>
      <c r="L54" s="618"/>
      <c r="M54" s="618"/>
      <c r="N54" s="618"/>
      <c r="O54" s="618"/>
      <c r="P54" s="618"/>
      <c r="Q54" s="618"/>
      <c r="R54" s="618"/>
    </row>
    <row r="55" spans="2:18" ht="14.25" customHeight="1">
      <c r="B55" s="618" t="s">
        <v>1077</v>
      </c>
      <c r="C55" s="618"/>
      <c r="D55" s="618"/>
      <c r="E55" s="618"/>
      <c r="F55" s="618"/>
      <c r="G55" s="618"/>
      <c r="H55" s="618"/>
      <c r="I55" s="618"/>
      <c r="J55" s="618"/>
      <c r="K55" s="618"/>
      <c r="L55" s="618"/>
      <c r="M55" s="618"/>
      <c r="N55" s="618"/>
      <c r="O55" s="618"/>
      <c r="P55" s="618"/>
      <c r="Q55" s="468"/>
      <c r="R55" s="468"/>
    </row>
    <row r="56" spans="2:18">
      <c r="D56" s="451"/>
      <c r="E56" s="451"/>
      <c r="F56" s="451"/>
      <c r="G56" s="451"/>
      <c r="H56" s="451"/>
      <c r="I56" s="451"/>
      <c r="J56" s="451"/>
      <c r="K56" s="451"/>
      <c r="L56" s="451"/>
      <c r="M56" s="451"/>
      <c r="N56" s="451"/>
      <c r="O56" s="451"/>
      <c r="P56" s="451"/>
      <c r="Q56" s="451"/>
      <c r="R56" s="469"/>
    </row>
    <row r="57" spans="2:18">
      <c r="B57" s="464"/>
      <c r="C57" s="464"/>
      <c r="D57" s="469"/>
      <c r="E57" s="469"/>
      <c r="F57" s="469"/>
      <c r="G57" s="469"/>
      <c r="H57" s="469"/>
      <c r="I57" s="469"/>
      <c r="J57" s="469"/>
      <c r="K57" s="469"/>
      <c r="L57" s="469"/>
      <c r="M57" s="469"/>
      <c r="N57" s="469"/>
      <c r="O57" s="469"/>
      <c r="P57" s="469"/>
      <c r="Q57" s="469"/>
      <c r="R57" s="469"/>
    </row>
    <row r="58" spans="2:18">
      <c r="B58" s="464"/>
      <c r="C58" s="464"/>
      <c r="D58" s="469"/>
      <c r="E58" s="469"/>
      <c r="F58" s="469"/>
      <c r="G58" s="469"/>
      <c r="H58" s="469"/>
      <c r="I58" s="469"/>
      <c r="J58" s="469"/>
      <c r="K58" s="469"/>
      <c r="L58" s="469"/>
      <c r="M58" s="469"/>
      <c r="N58" s="469"/>
      <c r="O58" s="469"/>
      <c r="P58" s="469"/>
      <c r="Q58" s="469"/>
      <c r="R58" s="469"/>
    </row>
    <row r="59" spans="2:18">
      <c r="B59" s="464"/>
      <c r="C59" s="464"/>
      <c r="D59" s="469"/>
      <c r="E59" s="469"/>
      <c r="F59" s="469"/>
      <c r="G59" s="469"/>
      <c r="H59" s="469"/>
      <c r="I59" s="469"/>
      <c r="J59" s="469"/>
      <c r="K59" s="469"/>
      <c r="L59" s="469"/>
      <c r="M59" s="469"/>
      <c r="N59" s="469"/>
      <c r="O59" s="469"/>
      <c r="P59" s="469"/>
      <c r="Q59" s="469"/>
      <c r="R59" s="469"/>
    </row>
    <row r="60" spans="2:18">
      <c r="B60" s="464"/>
      <c r="C60" s="464"/>
      <c r="D60" s="469"/>
      <c r="E60" s="469"/>
      <c r="F60" s="469"/>
      <c r="G60" s="469"/>
      <c r="H60" s="469"/>
      <c r="I60" s="469"/>
      <c r="J60" s="469"/>
      <c r="K60" s="469"/>
      <c r="L60" s="469"/>
      <c r="M60" s="469"/>
      <c r="N60" s="469"/>
      <c r="O60" s="469"/>
      <c r="P60" s="469"/>
      <c r="Q60" s="469"/>
      <c r="R60" s="469"/>
    </row>
    <row r="61" spans="2:18">
      <c r="B61" s="464"/>
      <c r="C61" s="464"/>
      <c r="D61" s="469"/>
      <c r="E61" s="469"/>
      <c r="F61" s="469"/>
      <c r="G61" s="469"/>
      <c r="H61" s="469"/>
      <c r="I61" s="469"/>
      <c r="J61" s="469"/>
      <c r="K61" s="469"/>
      <c r="L61" s="469"/>
      <c r="M61" s="469"/>
      <c r="N61" s="469"/>
      <c r="O61" s="469"/>
      <c r="P61" s="469"/>
      <c r="Q61" s="469"/>
      <c r="R61" s="469"/>
    </row>
    <row r="62" spans="2:18">
      <c r="B62" s="464"/>
      <c r="C62" s="464"/>
      <c r="D62" s="469"/>
      <c r="E62" s="469"/>
      <c r="F62" s="469"/>
      <c r="G62" s="469"/>
      <c r="H62" s="469"/>
      <c r="I62" s="469"/>
      <c r="J62" s="469"/>
      <c r="K62" s="469"/>
      <c r="L62" s="469"/>
      <c r="M62" s="469"/>
      <c r="N62" s="469"/>
      <c r="O62" s="469"/>
      <c r="P62" s="469"/>
      <c r="Q62" s="469"/>
      <c r="R62" s="469"/>
    </row>
    <row r="63" spans="2:18">
      <c r="B63" s="464"/>
      <c r="C63" s="464"/>
      <c r="D63" s="469"/>
      <c r="E63" s="469"/>
      <c r="F63" s="469"/>
      <c r="G63" s="469"/>
      <c r="H63" s="469"/>
      <c r="I63" s="469"/>
      <c r="J63" s="469"/>
      <c r="K63" s="469"/>
      <c r="L63" s="469"/>
      <c r="M63" s="469"/>
      <c r="N63" s="469"/>
      <c r="O63" s="469"/>
      <c r="P63" s="469"/>
      <c r="Q63" s="469"/>
      <c r="R63" s="469"/>
    </row>
    <row r="64" spans="2:18">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sheetData>
  <mergeCells count="6">
    <mergeCell ref="B55:P55"/>
    <mergeCell ref="B2:R2"/>
    <mergeCell ref="B3:R3"/>
    <mergeCell ref="B52:P52"/>
    <mergeCell ref="B53:P53"/>
    <mergeCell ref="B54:R54"/>
  </mergeCells>
  <conditionalFormatting sqref="B12:R50">
    <cfRule type="expression" dxfId="13" priority="1">
      <formula>MOD(ROW(),2)=0</formula>
    </cfRule>
  </conditionalFormatting>
  <conditionalFormatting sqref="D11:R11">
    <cfRule type="expression" dxfId="12" priority="2">
      <formula>MOD(ROW(),2)=0</formula>
    </cfRule>
  </conditionalFormatting>
  <pageMargins left="0.7" right="0.7" top="0.75" bottom="0.75" header="0.3" footer="0.3"/>
  <pageSetup scale="1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1A174-DFB7-444B-A116-2C304BBE2812}">
  <sheetPr codeName="Sheet25">
    <pageSetUpPr fitToPage="1"/>
  </sheetPr>
  <dimension ref="A2:AF77"/>
  <sheetViews>
    <sheetView showGridLines="0" zoomScaleNormal="100" workbookViewId="0">
      <pane xSplit="3" ySplit="4" topLeftCell="D5" activePane="bottomRight" state="frozen"/>
      <selection pane="bottomRight" activeCell="B88" sqref="B88:K88"/>
      <selection pane="bottomLeft" activeCell="B88" sqref="B88:K88"/>
      <selection pane="topRight" activeCell="B88" sqref="B88:K88"/>
    </sheetView>
  </sheetViews>
  <sheetFormatPr defaultColWidth="9.140625" defaultRowHeight="15" outlineLevelCol="1"/>
  <cols>
    <col min="1" max="1" width="6.7109375" style="496" customWidth="1"/>
    <col min="2" max="2" width="29.7109375" style="451" customWidth="1"/>
    <col min="3" max="3" width="4.28515625" style="451" hidden="1" customWidth="1" outlineLevel="1"/>
    <col min="4" max="4" width="8.140625" style="452" customWidth="1" collapsed="1"/>
    <col min="5" max="18" width="8.140625" style="452" customWidth="1"/>
    <col min="19" max="19" width="1.85546875" style="452" customWidth="1"/>
    <col min="20" max="20" width="9.140625" style="496"/>
    <col min="21" max="21" width="0" style="496" hidden="1" customWidth="1"/>
    <col min="22" max="32" width="9.140625" style="102"/>
    <col min="33" max="16384" width="9.140625" style="451"/>
  </cols>
  <sheetData>
    <row r="2" spans="2:19">
      <c r="B2" s="622" t="str">
        <f>"Table A22. Low-Income Developing Countries: General Government Net Debt, "&amp;D4&amp;"–"&amp;RIGHT(R4,2)</f>
        <v>Table A22. Low-Income Developing Countries: General Government Net Debt, 2014–28</v>
      </c>
      <c r="C2" s="622"/>
      <c r="D2" s="622"/>
      <c r="E2" s="622"/>
      <c r="F2" s="622"/>
      <c r="G2" s="622"/>
      <c r="H2" s="622"/>
      <c r="I2" s="622"/>
      <c r="J2" s="622"/>
      <c r="K2" s="622"/>
      <c r="L2" s="622"/>
      <c r="M2" s="622"/>
      <c r="N2" s="622"/>
      <c r="O2" s="622"/>
      <c r="P2" s="622"/>
      <c r="Q2" s="622"/>
      <c r="R2" s="622"/>
      <c r="S2" s="498"/>
    </row>
    <row r="3" spans="2:19">
      <c r="B3" s="619" t="s">
        <v>81</v>
      </c>
      <c r="C3" s="620"/>
      <c r="D3" s="620"/>
      <c r="E3" s="620"/>
      <c r="F3" s="620"/>
      <c r="G3" s="620"/>
      <c r="H3" s="620"/>
      <c r="I3" s="620"/>
      <c r="J3" s="620"/>
      <c r="K3" s="620"/>
      <c r="L3" s="620"/>
      <c r="M3" s="620"/>
      <c r="N3" s="620"/>
      <c r="O3" s="620"/>
      <c r="P3" s="620"/>
      <c r="Q3" s="620"/>
      <c r="R3" s="620"/>
      <c r="S3" s="498"/>
    </row>
    <row r="4" spans="2:19" ht="14.1" customHeight="1">
      <c r="B4" s="457"/>
      <c r="C4" s="457"/>
      <c r="D4" s="458">
        <v>2014</v>
      </c>
      <c r="E4" s="458">
        <v>2015</v>
      </c>
      <c r="F4" s="458">
        <v>2016</v>
      </c>
      <c r="G4" s="458">
        <v>2017</v>
      </c>
      <c r="H4" s="458">
        <v>2018</v>
      </c>
      <c r="I4" s="458">
        <v>2019</v>
      </c>
      <c r="J4" s="458">
        <v>2020</v>
      </c>
      <c r="K4" s="458">
        <v>2021</v>
      </c>
      <c r="L4" s="458">
        <v>2022</v>
      </c>
      <c r="M4" s="458">
        <v>2023</v>
      </c>
      <c r="N4" s="458">
        <v>2024</v>
      </c>
      <c r="O4" s="458">
        <v>2025</v>
      </c>
      <c r="P4" s="458">
        <v>2026</v>
      </c>
      <c r="Q4" s="458">
        <v>2027</v>
      </c>
      <c r="R4" s="458">
        <v>2028</v>
      </c>
      <c r="S4" s="469"/>
    </row>
    <row r="5" spans="2:19" ht="14.1" customHeight="1">
      <c r="B5" s="459" t="s">
        <v>196</v>
      </c>
      <c r="C5" s="491" t="s">
        <v>125</v>
      </c>
      <c r="D5" s="461" t="s">
        <v>145</v>
      </c>
      <c r="E5" s="461" t="s">
        <v>145</v>
      </c>
      <c r="F5" s="461" t="s">
        <v>145</v>
      </c>
      <c r="G5" s="461" t="s">
        <v>145</v>
      </c>
      <c r="H5" s="461" t="s">
        <v>145</v>
      </c>
      <c r="I5" s="461" t="s">
        <v>145</v>
      </c>
      <c r="J5" s="461" t="s">
        <v>145</v>
      </c>
      <c r="K5" s="461" t="s">
        <v>145</v>
      </c>
      <c r="L5" s="461" t="s">
        <v>145</v>
      </c>
      <c r="M5" s="461" t="s">
        <v>145</v>
      </c>
      <c r="N5" s="461" t="s">
        <v>145</v>
      </c>
      <c r="O5" s="461" t="s">
        <v>145</v>
      </c>
      <c r="P5" s="461" t="s">
        <v>145</v>
      </c>
      <c r="Q5" s="461" t="s">
        <v>145</v>
      </c>
      <c r="R5" s="461" t="s">
        <v>145</v>
      </c>
      <c r="S5" s="469"/>
    </row>
    <row r="6" spans="2:19" ht="14.1" customHeight="1">
      <c r="B6" s="462" t="s">
        <v>129</v>
      </c>
      <c r="C6" s="491" t="s">
        <v>1033</v>
      </c>
      <c r="D6" s="461" t="s">
        <v>145</v>
      </c>
      <c r="E6" s="461" t="s">
        <v>145</v>
      </c>
      <c r="F6" s="461" t="s">
        <v>145</v>
      </c>
      <c r="G6" s="461" t="s">
        <v>145</v>
      </c>
      <c r="H6" s="461" t="s">
        <v>145</v>
      </c>
      <c r="I6" s="461" t="s">
        <v>145</v>
      </c>
      <c r="J6" s="461" t="s">
        <v>145</v>
      </c>
      <c r="K6" s="461" t="s">
        <v>145</v>
      </c>
      <c r="L6" s="461" t="s">
        <v>145</v>
      </c>
      <c r="M6" s="461" t="s">
        <v>145</v>
      </c>
      <c r="N6" s="461" t="s">
        <v>145</v>
      </c>
      <c r="O6" s="461" t="s">
        <v>145</v>
      </c>
      <c r="P6" s="461" t="s">
        <v>145</v>
      </c>
      <c r="Q6" s="461" t="s">
        <v>145</v>
      </c>
      <c r="R6" s="461" t="s">
        <v>145</v>
      </c>
      <c r="S6" s="469"/>
    </row>
    <row r="7" spans="2:19" ht="14.1" customHeight="1">
      <c r="B7" s="462" t="s">
        <v>108</v>
      </c>
      <c r="C7" s="491" t="s">
        <v>1034</v>
      </c>
      <c r="D7" s="461" t="s">
        <v>145</v>
      </c>
      <c r="E7" s="461" t="s">
        <v>145</v>
      </c>
      <c r="F7" s="461" t="s">
        <v>145</v>
      </c>
      <c r="G7" s="461" t="s">
        <v>145</v>
      </c>
      <c r="H7" s="461" t="s">
        <v>145</v>
      </c>
      <c r="I7" s="461" t="s">
        <v>145</v>
      </c>
      <c r="J7" s="461" t="s">
        <v>145</v>
      </c>
      <c r="K7" s="461" t="s">
        <v>145</v>
      </c>
      <c r="L7" s="461" t="s">
        <v>145</v>
      </c>
      <c r="M7" s="461" t="s">
        <v>145</v>
      </c>
      <c r="N7" s="461" t="s">
        <v>145</v>
      </c>
      <c r="O7" s="461" t="s">
        <v>145</v>
      </c>
      <c r="P7" s="461" t="s">
        <v>145</v>
      </c>
      <c r="Q7" s="461" t="s">
        <v>145</v>
      </c>
      <c r="R7" s="461" t="s">
        <v>145</v>
      </c>
      <c r="S7" s="469"/>
    </row>
    <row r="8" spans="2:19" ht="14.1" customHeight="1">
      <c r="B8" s="462" t="s">
        <v>117</v>
      </c>
      <c r="C8" s="491" t="s">
        <v>1035</v>
      </c>
      <c r="D8" s="461" t="s">
        <v>145</v>
      </c>
      <c r="E8" s="461" t="s">
        <v>145</v>
      </c>
      <c r="F8" s="461" t="s">
        <v>145</v>
      </c>
      <c r="G8" s="461" t="s">
        <v>145</v>
      </c>
      <c r="H8" s="461" t="s">
        <v>145</v>
      </c>
      <c r="I8" s="461" t="s">
        <v>145</v>
      </c>
      <c r="J8" s="461" t="s">
        <v>145</v>
      </c>
      <c r="K8" s="461" t="s">
        <v>145</v>
      </c>
      <c r="L8" s="461" t="s">
        <v>145</v>
      </c>
      <c r="M8" s="461" t="s">
        <v>145</v>
      </c>
      <c r="N8" s="461" t="s">
        <v>145</v>
      </c>
      <c r="O8" s="461" t="s">
        <v>145</v>
      </c>
      <c r="P8" s="461" t="s">
        <v>145</v>
      </c>
      <c r="Q8" s="461" t="s">
        <v>145</v>
      </c>
      <c r="R8" s="461" t="s">
        <v>145</v>
      </c>
      <c r="S8" s="469"/>
    </row>
    <row r="9" spans="2:19" ht="14.1" customHeight="1">
      <c r="B9" s="462" t="s">
        <v>1036</v>
      </c>
      <c r="C9" s="491" t="s">
        <v>1037</v>
      </c>
      <c r="D9" s="461" t="s">
        <v>145</v>
      </c>
      <c r="E9" s="461" t="s">
        <v>145</v>
      </c>
      <c r="F9" s="461" t="s">
        <v>145</v>
      </c>
      <c r="G9" s="461" t="s">
        <v>145</v>
      </c>
      <c r="H9" s="461" t="s">
        <v>145</v>
      </c>
      <c r="I9" s="461" t="s">
        <v>145</v>
      </c>
      <c r="J9" s="461" t="s">
        <v>145</v>
      </c>
      <c r="K9" s="461" t="s">
        <v>145</v>
      </c>
      <c r="L9" s="461" t="s">
        <v>145</v>
      </c>
      <c r="M9" s="461" t="s">
        <v>145</v>
      </c>
      <c r="N9" s="461" t="s">
        <v>145</v>
      </c>
      <c r="O9" s="461" t="s">
        <v>145</v>
      </c>
      <c r="P9" s="461" t="s">
        <v>145</v>
      </c>
      <c r="Q9" s="461" t="s">
        <v>145</v>
      </c>
      <c r="R9" s="461" t="s">
        <v>145</v>
      </c>
      <c r="S9" s="469"/>
    </row>
    <row r="10" spans="2:19" ht="14.1" customHeight="1">
      <c r="B10" s="462" t="s">
        <v>232</v>
      </c>
      <c r="C10" s="491" t="s">
        <v>1038</v>
      </c>
      <c r="D10" s="461" t="s">
        <v>145</v>
      </c>
      <c r="E10" s="461" t="s">
        <v>145</v>
      </c>
      <c r="F10" s="461" t="s">
        <v>145</v>
      </c>
      <c r="G10" s="461" t="s">
        <v>145</v>
      </c>
      <c r="H10" s="461" t="s">
        <v>145</v>
      </c>
      <c r="I10" s="461" t="s">
        <v>145</v>
      </c>
      <c r="J10" s="461" t="s">
        <v>145</v>
      </c>
      <c r="K10" s="461" t="s">
        <v>145</v>
      </c>
      <c r="L10" s="461" t="s">
        <v>145</v>
      </c>
      <c r="M10" s="461" t="s">
        <v>145</v>
      </c>
      <c r="N10" s="461" t="s">
        <v>145</v>
      </c>
      <c r="O10" s="461" t="s">
        <v>145</v>
      </c>
      <c r="P10" s="461" t="s">
        <v>145</v>
      </c>
      <c r="Q10" s="461" t="s">
        <v>145</v>
      </c>
      <c r="R10" s="461" t="s">
        <v>145</v>
      </c>
      <c r="S10" s="469"/>
    </row>
    <row r="11" spans="2:19" ht="16.5" customHeight="1">
      <c r="B11" s="451" t="s">
        <v>1039</v>
      </c>
      <c r="C11" s="451" t="s">
        <v>1039</v>
      </c>
      <c r="D11" s="465" t="s">
        <v>139</v>
      </c>
      <c r="E11" s="465" t="s">
        <v>139</v>
      </c>
      <c r="F11" s="465" t="s">
        <v>139</v>
      </c>
      <c r="G11" s="465" t="s">
        <v>139</v>
      </c>
      <c r="H11" s="465" t="s">
        <v>139</v>
      </c>
      <c r="I11" s="465" t="s">
        <v>139</v>
      </c>
      <c r="J11" s="465" t="s">
        <v>139</v>
      </c>
      <c r="K11" s="465" t="s">
        <v>139</v>
      </c>
      <c r="L11" s="465" t="s">
        <v>139</v>
      </c>
      <c r="M11" s="465" t="s">
        <v>139</v>
      </c>
      <c r="N11" s="465" t="s">
        <v>139</v>
      </c>
      <c r="O11" s="465" t="s">
        <v>139</v>
      </c>
      <c r="P11" s="465" t="s">
        <v>139</v>
      </c>
      <c r="Q11" s="465" t="s">
        <v>139</v>
      </c>
      <c r="R11" s="465" t="s">
        <v>139</v>
      </c>
      <c r="S11" s="465"/>
    </row>
    <row r="12" spans="2:19" ht="13.5" customHeight="1">
      <c r="B12" s="464" t="s">
        <v>1040</v>
      </c>
      <c r="C12" s="464" t="s">
        <v>1040</v>
      </c>
      <c r="D12" s="465" t="s">
        <v>139</v>
      </c>
      <c r="E12" s="465" t="s">
        <v>139</v>
      </c>
      <c r="F12" s="465" t="s">
        <v>139</v>
      </c>
      <c r="G12" s="465" t="s">
        <v>139</v>
      </c>
      <c r="H12" s="465" t="s">
        <v>139</v>
      </c>
      <c r="I12" s="465" t="s">
        <v>139</v>
      </c>
      <c r="J12" s="465" t="s">
        <v>139</v>
      </c>
      <c r="K12" s="465" t="s">
        <v>139</v>
      </c>
      <c r="L12" s="465" t="s">
        <v>139</v>
      </c>
      <c r="M12" s="465" t="s">
        <v>139</v>
      </c>
      <c r="N12" s="465" t="s">
        <v>139</v>
      </c>
      <c r="O12" s="465" t="s">
        <v>139</v>
      </c>
      <c r="P12" s="465" t="s">
        <v>139</v>
      </c>
      <c r="Q12" s="465" t="s">
        <v>139</v>
      </c>
      <c r="R12" s="465" t="s">
        <v>139</v>
      </c>
      <c r="S12" s="465"/>
    </row>
    <row r="13" spans="2:19" ht="13.5" customHeight="1">
      <c r="B13" s="464" t="s">
        <v>1041</v>
      </c>
      <c r="C13" s="464" t="s">
        <v>1041</v>
      </c>
      <c r="D13" s="465" t="s">
        <v>139</v>
      </c>
      <c r="E13" s="465" t="s">
        <v>139</v>
      </c>
      <c r="F13" s="465" t="s">
        <v>139</v>
      </c>
      <c r="G13" s="465" t="s">
        <v>139</v>
      </c>
      <c r="H13" s="465" t="s">
        <v>139</v>
      </c>
      <c r="I13" s="465" t="s">
        <v>139</v>
      </c>
      <c r="J13" s="465" t="s">
        <v>139</v>
      </c>
      <c r="K13" s="465" t="s">
        <v>139</v>
      </c>
      <c r="L13" s="465" t="s">
        <v>139</v>
      </c>
      <c r="M13" s="465" t="s">
        <v>139</v>
      </c>
      <c r="N13" s="465" t="s">
        <v>139</v>
      </c>
      <c r="O13" s="465" t="s">
        <v>139</v>
      </c>
      <c r="P13" s="465" t="s">
        <v>139</v>
      </c>
      <c r="Q13" s="465" t="s">
        <v>139</v>
      </c>
      <c r="R13" s="465" t="s">
        <v>139</v>
      </c>
      <c r="S13" s="465"/>
    </row>
    <row r="14" spans="2:19" ht="13.5" customHeight="1">
      <c r="B14" s="464" t="s">
        <v>1042</v>
      </c>
      <c r="C14" s="464" t="s">
        <v>1042</v>
      </c>
      <c r="D14" s="465" t="s">
        <v>139</v>
      </c>
      <c r="E14" s="465" t="s">
        <v>139</v>
      </c>
      <c r="F14" s="465" t="s">
        <v>139</v>
      </c>
      <c r="G14" s="465" t="s">
        <v>139</v>
      </c>
      <c r="H14" s="465" t="s">
        <v>139</v>
      </c>
      <c r="I14" s="465" t="s">
        <v>139</v>
      </c>
      <c r="J14" s="465" t="s">
        <v>139</v>
      </c>
      <c r="K14" s="465" t="s">
        <v>139</v>
      </c>
      <c r="L14" s="465" t="s">
        <v>139</v>
      </c>
      <c r="M14" s="465" t="s">
        <v>139</v>
      </c>
      <c r="N14" s="465" t="s">
        <v>139</v>
      </c>
      <c r="O14" s="465" t="s">
        <v>139</v>
      </c>
      <c r="P14" s="465" t="s">
        <v>139</v>
      </c>
      <c r="Q14" s="465" t="s">
        <v>139</v>
      </c>
      <c r="R14" s="465" t="s">
        <v>139</v>
      </c>
      <c r="S14" s="465"/>
    </row>
    <row r="15" spans="2:19" ht="13.5" customHeight="1">
      <c r="B15" s="464" t="s">
        <v>1043</v>
      </c>
      <c r="C15" s="464" t="s">
        <v>1043</v>
      </c>
      <c r="D15" s="465" t="s">
        <v>139</v>
      </c>
      <c r="E15" s="465" t="s">
        <v>139</v>
      </c>
      <c r="F15" s="465" t="s">
        <v>139</v>
      </c>
      <c r="G15" s="465" t="s">
        <v>139</v>
      </c>
      <c r="H15" s="465" t="s">
        <v>139</v>
      </c>
      <c r="I15" s="465" t="s">
        <v>139</v>
      </c>
      <c r="J15" s="465" t="s">
        <v>139</v>
      </c>
      <c r="K15" s="465" t="s">
        <v>139</v>
      </c>
      <c r="L15" s="465" t="s">
        <v>139</v>
      </c>
      <c r="M15" s="465" t="s">
        <v>139</v>
      </c>
      <c r="N15" s="465" t="s">
        <v>139</v>
      </c>
      <c r="O15" s="465" t="s">
        <v>139</v>
      </c>
      <c r="P15" s="465" t="s">
        <v>139</v>
      </c>
      <c r="Q15" s="465" t="s">
        <v>139</v>
      </c>
      <c r="R15" s="465" t="s">
        <v>139</v>
      </c>
      <c r="S15" s="465"/>
    </row>
    <row r="16" spans="2:19" ht="13.5" customHeight="1">
      <c r="B16" s="464" t="s">
        <v>1044</v>
      </c>
      <c r="C16" s="464" t="s">
        <v>1044</v>
      </c>
      <c r="D16" s="465">
        <v>19.116919475039669</v>
      </c>
      <c r="E16" s="465">
        <v>27.557806652448491</v>
      </c>
      <c r="F16" s="465">
        <v>30.503117843402617</v>
      </c>
      <c r="G16" s="465">
        <v>33.280186146678389</v>
      </c>
      <c r="H16" s="465">
        <v>35.90385341366914</v>
      </c>
      <c r="I16" s="465">
        <v>39.46474491107292</v>
      </c>
      <c r="J16" s="465">
        <v>43.027002787764616</v>
      </c>
      <c r="K16" s="465">
        <v>45.400407682243831</v>
      </c>
      <c r="L16" s="465">
        <v>44.986737752874028</v>
      </c>
      <c r="M16" s="465">
        <v>41.033987630061247</v>
      </c>
      <c r="N16" s="465">
        <v>38.696368694024699</v>
      </c>
      <c r="O16" s="465">
        <v>36.791278669068703</v>
      </c>
      <c r="P16" s="465">
        <v>35.774991954454357</v>
      </c>
      <c r="Q16" s="465">
        <v>35.522659103847786</v>
      </c>
      <c r="R16" s="465">
        <v>35.343341083502253</v>
      </c>
      <c r="S16" s="465"/>
    </row>
    <row r="17" spans="2:21" ht="13.5" customHeight="1">
      <c r="B17" s="464" t="s">
        <v>241</v>
      </c>
      <c r="C17" s="464" t="s">
        <v>241</v>
      </c>
      <c r="D17" s="465" t="s">
        <v>139</v>
      </c>
      <c r="E17" s="465" t="s">
        <v>139</v>
      </c>
      <c r="F17" s="465" t="s">
        <v>139</v>
      </c>
      <c r="G17" s="465" t="s">
        <v>139</v>
      </c>
      <c r="H17" s="465" t="s">
        <v>139</v>
      </c>
      <c r="I17" s="465" t="s">
        <v>139</v>
      </c>
      <c r="J17" s="465" t="s">
        <v>139</v>
      </c>
      <c r="K17" s="465" t="s">
        <v>139</v>
      </c>
      <c r="L17" s="465" t="s">
        <v>139</v>
      </c>
      <c r="M17" s="465" t="s">
        <v>139</v>
      </c>
      <c r="N17" s="465" t="s">
        <v>139</v>
      </c>
      <c r="O17" s="465" t="s">
        <v>139</v>
      </c>
      <c r="P17" s="465" t="s">
        <v>139</v>
      </c>
      <c r="Q17" s="465" t="s">
        <v>139</v>
      </c>
      <c r="R17" s="465" t="s">
        <v>139</v>
      </c>
      <c r="S17" s="465"/>
      <c r="U17" s="515" t="s">
        <v>1078</v>
      </c>
    </row>
    <row r="18" spans="2:21" ht="13.5" customHeight="1">
      <c r="B18" s="464" t="s">
        <v>1045</v>
      </c>
      <c r="C18" s="464" t="s">
        <v>1045</v>
      </c>
      <c r="D18" s="465" t="s">
        <v>139</v>
      </c>
      <c r="E18" s="465" t="s">
        <v>139</v>
      </c>
      <c r="F18" s="465" t="s">
        <v>139</v>
      </c>
      <c r="G18" s="465" t="s">
        <v>139</v>
      </c>
      <c r="H18" s="465" t="s">
        <v>139</v>
      </c>
      <c r="I18" s="465" t="s">
        <v>139</v>
      </c>
      <c r="J18" s="465" t="s">
        <v>139</v>
      </c>
      <c r="K18" s="465" t="s">
        <v>139</v>
      </c>
      <c r="L18" s="465" t="s">
        <v>139</v>
      </c>
      <c r="M18" s="465" t="s">
        <v>139</v>
      </c>
      <c r="N18" s="465" t="s">
        <v>139</v>
      </c>
      <c r="O18" s="465" t="s">
        <v>139</v>
      </c>
      <c r="P18" s="465" t="s">
        <v>139</v>
      </c>
      <c r="Q18" s="465" t="s">
        <v>139</v>
      </c>
      <c r="R18" s="465" t="s">
        <v>139</v>
      </c>
      <c r="S18" s="465"/>
    </row>
    <row r="19" spans="2:21" ht="13.5" customHeight="1">
      <c r="B19" s="464" t="s">
        <v>1046</v>
      </c>
      <c r="C19" s="464" t="s">
        <v>1046</v>
      </c>
      <c r="D19" s="465" t="s">
        <v>139</v>
      </c>
      <c r="E19" s="465" t="s">
        <v>139</v>
      </c>
      <c r="F19" s="465" t="s">
        <v>139</v>
      </c>
      <c r="G19" s="465" t="s">
        <v>139</v>
      </c>
      <c r="H19" s="465" t="s">
        <v>139</v>
      </c>
      <c r="I19" s="465" t="s">
        <v>139</v>
      </c>
      <c r="J19" s="465" t="s">
        <v>139</v>
      </c>
      <c r="K19" s="465" t="s">
        <v>139</v>
      </c>
      <c r="L19" s="465" t="s">
        <v>139</v>
      </c>
      <c r="M19" s="465" t="s">
        <v>139</v>
      </c>
      <c r="N19" s="465" t="s">
        <v>139</v>
      </c>
      <c r="O19" s="465" t="s">
        <v>139</v>
      </c>
      <c r="P19" s="465" t="s">
        <v>139</v>
      </c>
      <c r="Q19" s="465" t="s">
        <v>139</v>
      </c>
      <c r="R19" s="465" t="s">
        <v>139</v>
      </c>
      <c r="S19" s="465"/>
    </row>
    <row r="20" spans="2:21" ht="13.5" customHeight="1">
      <c r="B20" s="464" t="s">
        <v>239</v>
      </c>
      <c r="C20" s="464" t="s">
        <v>239</v>
      </c>
      <c r="D20" s="465" t="s">
        <v>139</v>
      </c>
      <c r="E20" s="465" t="s">
        <v>139</v>
      </c>
      <c r="F20" s="465" t="s">
        <v>139</v>
      </c>
      <c r="G20" s="465" t="s">
        <v>139</v>
      </c>
      <c r="H20" s="465" t="s">
        <v>139</v>
      </c>
      <c r="I20" s="465" t="s">
        <v>139</v>
      </c>
      <c r="J20" s="465" t="s">
        <v>139</v>
      </c>
      <c r="K20" s="465" t="s">
        <v>139</v>
      </c>
      <c r="L20" s="465" t="s">
        <v>139</v>
      </c>
      <c r="M20" s="465" t="s">
        <v>139</v>
      </c>
      <c r="N20" s="465" t="s">
        <v>139</v>
      </c>
      <c r="O20" s="465" t="s">
        <v>139</v>
      </c>
      <c r="P20" s="465" t="s">
        <v>139</v>
      </c>
      <c r="Q20" s="465" t="s">
        <v>139</v>
      </c>
      <c r="R20" s="465" t="s">
        <v>139</v>
      </c>
      <c r="S20" s="465"/>
    </row>
    <row r="21" spans="2:21" ht="13.5" customHeight="1">
      <c r="B21" s="464" t="s">
        <v>1048</v>
      </c>
      <c r="C21" s="464" t="s">
        <v>1048</v>
      </c>
      <c r="D21" s="465">
        <v>39.61292557089002</v>
      </c>
      <c r="E21" s="465">
        <v>45.840802837717582</v>
      </c>
      <c r="F21" s="465">
        <v>49.151799664508353</v>
      </c>
      <c r="G21" s="465">
        <v>51.273263170039499</v>
      </c>
      <c r="H21" s="465">
        <v>54.735797394601725</v>
      </c>
      <c r="I21" s="465">
        <v>51.750395095663372</v>
      </c>
      <c r="J21" s="465">
        <v>50.284438090193262</v>
      </c>
      <c r="K21" s="465">
        <v>50.462563327578913</v>
      </c>
      <c r="L21" s="465">
        <v>43.899100822319717</v>
      </c>
      <c r="M21" s="465">
        <v>35.808854771920601</v>
      </c>
      <c r="N21" s="465">
        <v>31.961129421236244</v>
      </c>
      <c r="O21" s="465">
        <v>29.895766878855675</v>
      </c>
      <c r="P21" s="465">
        <v>28.90828655046565</v>
      </c>
      <c r="Q21" s="465">
        <v>28.357433846770885</v>
      </c>
      <c r="R21" s="465">
        <v>27.89883400379939</v>
      </c>
      <c r="S21" s="465"/>
    </row>
    <row r="22" spans="2:21" ht="13.5" customHeight="1">
      <c r="B22" s="464" t="s">
        <v>1049</v>
      </c>
      <c r="C22" s="464" t="s">
        <v>1049</v>
      </c>
      <c r="D22" s="465">
        <v>45.30554560953054</v>
      </c>
      <c r="E22" s="465">
        <v>49.807349830777412</v>
      </c>
      <c r="F22" s="465">
        <v>50.935665060377907</v>
      </c>
      <c r="G22" s="465">
        <v>51.872446519066543</v>
      </c>
      <c r="H22" s="465">
        <v>60.709356316506934</v>
      </c>
      <c r="I22" s="465">
        <v>54.618040137077728</v>
      </c>
      <c r="J22" s="465">
        <v>68.228565538455257</v>
      </c>
      <c r="K22" s="465">
        <v>74.782684541992097</v>
      </c>
      <c r="L22" s="465">
        <v>83.948317204840592</v>
      </c>
      <c r="M22" s="465">
        <v>93.900348223192893</v>
      </c>
      <c r="N22" s="465">
        <v>88.023050663797676</v>
      </c>
      <c r="O22" s="465">
        <v>86.823250803425964</v>
      </c>
      <c r="P22" s="465">
        <v>85.608895278827433</v>
      </c>
      <c r="Q22" s="465">
        <v>83.742599475552453</v>
      </c>
      <c r="R22" s="465">
        <v>82.022106920414529</v>
      </c>
      <c r="S22" s="465"/>
    </row>
    <row r="23" spans="2:21" ht="13.5" customHeight="1">
      <c r="B23" s="464" t="s">
        <v>1050</v>
      </c>
      <c r="C23" s="464" t="s">
        <v>1050</v>
      </c>
      <c r="D23" s="465" t="s">
        <v>139</v>
      </c>
      <c r="E23" s="465" t="s">
        <v>139</v>
      </c>
      <c r="F23" s="465" t="s">
        <v>139</v>
      </c>
      <c r="G23" s="465" t="s">
        <v>139</v>
      </c>
      <c r="H23" s="465" t="s">
        <v>139</v>
      </c>
      <c r="I23" s="465" t="s">
        <v>139</v>
      </c>
      <c r="J23" s="465" t="s">
        <v>139</v>
      </c>
      <c r="K23" s="465" t="s">
        <v>139</v>
      </c>
      <c r="L23" s="465" t="s">
        <v>139</v>
      </c>
      <c r="M23" s="465" t="s">
        <v>139</v>
      </c>
      <c r="N23" s="465" t="s">
        <v>139</v>
      </c>
      <c r="O23" s="465" t="s">
        <v>139</v>
      </c>
      <c r="P23" s="465" t="s">
        <v>139</v>
      </c>
      <c r="Q23" s="465" t="s">
        <v>139</v>
      </c>
      <c r="R23" s="465" t="s">
        <v>139</v>
      </c>
      <c r="S23" s="465"/>
    </row>
    <row r="24" spans="2:21" ht="13.5" customHeight="1">
      <c r="B24" s="464" t="s">
        <v>1051</v>
      </c>
      <c r="C24" s="464" t="s">
        <v>1051</v>
      </c>
      <c r="D24" s="465" t="s">
        <v>139</v>
      </c>
      <c r="E24" s="465" t="s">
        <v>139</v>
      </c>
      <c r="F24" s="465" t="s">
        <v>139</v>
      </c>
      <c r="G24" s="465" t="s">
        <v>139</v>
      </c>
      <c r="H24" s="465" t="s">
        <v>139</v>
      </c>
      <c r="I24" s="465" t="s">
        <v>139</v>
      </c>
      <c r="J24" s="465" t="s">
        <v>139</v>
      </c>
      <c r="K24" s="465" t="s">
        <v>139</v>
      </c>
      <c r="L24" s="465" t="s">
        <v>139</v>
      </c>
      <c r="M24" s="465" t="s">
        <v>139</v>
      </c>
      <c r="N24" s="465" t="s">
        <v>139</v>
      </c>
      <c r="O24" s="465" t="s">
        <v>139</v>
      </c>
      <c r="P24" s="465" t="s">
        <v>139</v>
      </c>
      <c r="Q24" s="465" t="s">
        <v>139</v>
      </c>
      <c r="R24" s="465" t="s">
        <v>139</v>
      </c>
      <c r="S24" s="465"/>
    </row>
    <row r="25" spans="2:21" ht="13.5" customHeight="1">
      <c r="B25" s="464" t="s">
        <v>1052</v>
      </c>
      <c r="C25" s="464" t="s">
        <v>1052</v>
      </c>
      <c r="D25" s="465" t="s">
        <v>139</v>
      </c>
      <c r="E25" s="465" t="s">
        <v>139</v>
      </c>
      <c r="F25" s="465" t="s">
        <v>139</v>
      </c>
      <c r="G25" s="465" t="s">
        <v>139</v>
      </c>
      <c r="H25" s="465" t="s">
        <v>139</v>
      </c>
      <c r="I25" s="465" t="s">
        <v>139</v>
      </c>
      <c r="J25" s="465" t="s">
        <v>139</v>
      </c>
      <c r="K25" s="465" t="s">
        <v>139</v>
      </c>
      <c r="L25" s="465" t="s">
        <v>139</v>
      </c>
      <c r="M25" s="465" t="s">
        <v>139</v>
      </c>
      <c r="N25" s="465" t="s">
        <v>139</v>
      </c>
      <c r="O25" s="465" t="s">
        <v>139</v>
      </c>
      <c r="P25" s="465" t="s">
        <v>139</v>
      </c>
      <c r="Q25" s="465" t="s">
        <v>139</v>
      </c>
      <c r="R25" s="465" t="s">
        <v>139</v>
      </c>
      <c r="S25" s="465"/>
    </row>
    <row r="26" spans="2:21" ht="13.5" customHeight="1">
      <c r="B26" s="464" t="s">
        <v>126</v>
      </c>
      <c r="C26" s="464" t="s">
        <v>126</v>
      </c>
      <c r="D26" s="465">
        <v>34.837732773052039</v>
      </c>
      <c r="E26" s="465">
        <v>39.706188117347921</v>
      </c>
      <c r="F26" s="465">
        <v>47.537928678840089</v>
      </c>
      <c r="G26" s="465">
        <v>48.058632027821638</v>
      </c>
      <c r="H26" s="465">
        <v>50.784205389559567</v>
      </c>
      <c r="I26" s="465">
        <v>54.148302406881207</v>
      </c>
      <c r="J26" s="465">
        <v>63.007978698089239</v>
      </c>
      <c r="K26" s="465">
        <v>63.806557453743949</v>
      </c>
      <c r="L26" s="465">
        <v>64.99201381881241</v>
      </c>
      <c r="M26" s="465">
        <v>65.391021206148494</v>
      </c>
      <c r="N26" s="465">
        <v>64.857123643807128</v>
      </c>
      <c r="O26" s="465">
        <v>63.788025045345933</v>
      </c>
      <c r="P26" s="465">
        <v>60.742917457837741</v>
      </c>
      <c r="Q26" s="465">
        <v>59.309057793072206</v>
      </c>
      <c r="R26" s="465">
        <v>57.887906170025616</v>
      </c>
      <c r="S26" s="465"/>
      <c r="T26" s="516"/>
    </row>
    <row r="27" spans="2:21" ht="13.5" customHeight="1">
      <c r="B27" s="464" t="s">
        <v>1053</v>
      </c>
      <c r="C27" s="464" t="s">
        <v>1053</v>
      </c>
      <c r="D27" s="465" t="s">
        <v>139</v>
      </c>
      <c r="E27" s="465" t="s">
        <v>139</v>
      </c>
      <c r="F27" s="465" t="s">
        <v>139</v>
      </c>
      <c r="G27" s="465" t="s">
        <v>139</v>
      </c>
      <c r="H27" s="465" t="s">
        <v>139</v>
      </c>
      <c r="I27" s="465" t="s">
        <v>139</v>
      </c>
      <c r="J27" s="465" t="s">
        <v>139</v>
      </c>
      <c r="K27" s="465" t="s">
        <v>139</v>
      </c>
      <c r="L27" s="465" t="s">
        <v>139</v>
      </c>
      <c r="M27" s="465" t="s">
        <v>139</v>
      </c>
      <c r="N27" s="465" t="s">
        <v>139</v>
      </c>
      <c r="O27" s="465" t="s">
        <v>139</v>
      </c>
      <c r="P27" s="465" t="s">
        <v>139</v>
      </c>
      <c r="Q27" s="465" t="s">
        <v>139</v>
      </c>
      <c r="R27" s="465" t="s">
        <v>139</v>
      </c>
      <c r="S27" s="465"/>
    </row>
    <row r="28" spans="2:21" ht="13.5" customHeight="1">
      <c r="B28" s="464" t="s">
        <v>1054</v>
      </c>
      <c r="C28" s="464" t="s">
        <v>1054</v>
      </c>
      <c r="D28" s="465" t="s">
        <v>139</v>
      </c>
      <c r="E28" s="465" t="s">
        <v>139</v>
      </c>
      <c r="F28" s="465" t="s">
        <v>139</v>
      </c>
      <c r="G28" s="465" t="s">
        <v>139</v>
      </c>
      <c r="H28" s="465" t="s">
        <v>139</v>
      </c>
      <c r="I28" s="465" t="s">
        <v>139</v>
      </c>
      <c r="J28" s="465" t="s">
        <v>139</v>
      </c>
      <c r="K28" s="465" t="s">
        <v>139</v>
      </c>
      <c r="L28" s="465" t="s">
        <v>139</v>
      </c>
      <c r="M28" s="465" t="s">
        <v>139</v>
      </c>
      <c r="N28" s="465" t="s">
        <v>139</v>
      </c>
      <c r="O28" s="465" t="s">
        <v>139</v>
      </c>
      <c r="P28" s="465" t="s">
        <v>139</v>
      </c>
      <c r="Q28" s="465" t="s">
        <v>139</v>
      </c>
      <c r="R28" s="465" t="s">
        <v>139</v>
      </c>
      <c r="S28" s="465"/>
    </row>
    <row r="29" spans="2:21" ht="13.5" customHeight="1">
      <c r="B29" s="464" t="s">
        <v>1055</v>
      </c>
      <c r="C29" s="464" t="s">
        <v>1055</v>
      </c>
      <c r="D29" s="465" t="s">
        <v>139</v>
      </c>
      <c r="E29" s="465" t="s">
        <v>139</v>
      </c>
      <c r="F29" s="465" t="s">
        <v>139</v>
      </c>
      <c r="G29" s="465" t="s">
        <v>139</v>
      </c>
      <c r="H29" s="465" t="s">
        <v>139</v>
      </c>
      <c r="I29" s="465" t="s">
        <v>139</v>
      </c>
      <c r="J29" s="465" t="s">
        <v>139</v>
      </c>
      <c r="K29" s="465" t="s">
        <v>139</v>
      </c>
      <c r="L29" s="465" t="s">
        <v>139</v>
      </c>
      <c r="M29" s="465" t="s">
        <v>139</v>
      </c>
      <c r="N29" s="465" t="s">
        <v>139</v>
      </c>
      <c r="O29" s="465" t="s">
        <v>139</v>
      </c>
      <c r="P29" s="465" t="s">
        <v>139</v>
      </c>
      <c r="Q29" s="465" t="s">
        <v>139</v>
      </c>
      <c r="R29" s="465" t="s">
        <v>139</v>
      </c>
      <c r="S29" s="465"/>
    </row>
    <row r="30" spans="2:21" ht="13.5" customHeight="1">
      <c r="B30" s="464" t="s">
        <v>1056</v>
      </c>
      <c r="C30" s="464" t="s">
        <v>1056</v>
      </c>
      <c r="D30" s="465" t="s">
        <v>139</v>
      </c>
      <c r="E30" s="465" t="s">
        <v>139</v>
      </c>
      <c r="F30" s="465" t="s">
        <v>139</v>
      </c>
      <c r="G30" s="465" t="s">
        <v>139</v>
      </c>
      <c r="H30" s="465" t="s">
        <v>139</v>
      </c>
      <c r="I30" s="465" t="s">
        <v>139</v>
      </c>
      <c r="J30" s="465" t="s">
        <v>139</v>
      </c>
      <c r="K30" s="465" t="s">
        <v>139</v>
      </c>
      <c r="L30" s="465" t="s">
        <v>139</v>
      </c>
      <c r="M30" s="465" t="s">
        <v>139</v>
      </c>
      <c r="N30" s="465" t="s">
        <v>139</v>
      </c>
      <c r="O30" s="465" t="s">
        <v>139</v>
      </c>
      <c r="P30" s="465" t="s">
        <v>139</v>
      </c>
      <c r="Q30" s="465" t="s">
        <v>139</v>
      </c>
      <c r="R30" s="465" t="s">
        <v>139</v>
      </c>
      <c r="S30" s="465"/>
    </row>
    <row r="31" spans="2:21" ht="13.5" customHeight="1">
      <c r="B31" s="464" t="s">
        <v>240</v>
      </c>
      <c r="C31" s="464" t="s">
        <v>240</v>
      </c>
      <c r="D31" s="465">
        <v>19.658038407847528</v>
      </c>
      <c r="E31" s="465">
        <v>23.148672377181505</v>
      </c>
      <c r="F31" s="465">
        <v>29.984047977641104</v>
      </c>
      <c r="G31" s="465">
        <v>31.098136072022076</v>
      </c>
      <c r="H31" s="465">
        <v>34.088811871589122</v>
      </c>
      <c r="I31" s="465">
        <v>34.558608705656859</v>
      </c>
      <c r="J31" s="465">
        <v>40.37036329557052</v>
      </c>
      <c r="K31" s="465">
        <v>43.683751184900999</v>
      </c>
      <c r="L31" s="465">
        <v>49.2237330709481</v>
      </c>
      <c r="M31" s="465">
        <v>48.752389603384991</v>
      </c>
      <c r="N31" s="465">
        <v>48.437837841525479</v>
      </c>
      <c r="O31" s="465">
        <v>48.439963312592901</v>
      </c>
      <c r="P31" s="465">
        <v>48.571580188253968</v>
      </c>
      <c r="Q31" s="465">
        <v>49.007256880723226</v>
      </c>
      <c r="R31" s="465">
        <v>49.68035656216702</v>
      </c>
      <c r="S31" s="465"/>
    </row>
    <row r="32" spans="2:21" ht="13.5" customHeight="1">
      <c r="B32" s="464" t="s">
        <v>1057</v>
      </c>
      <c r="C32" s="464" t="s">
        <v>1057</v>
      </c>
      <c r="D32" s="465" t="s">
        <v>139</v>
      </c>
      <c r="E32" s="465" t="s">
        <v>139</v>
      </c>
      <c r="F32" s="465" t="s">
        <v>139</v>
      </c>
      <c r="G32" s="465" t="s">
        <v>139</v>
      </c>
      <c r="H32" s="465" t="s">
        <v>139</v>
      </c>
      <c r="I32" s="465" t="s">
        <v>139</v>
      </c>
      <c r="J32" s="465" t="s">
        <v>139</v>
      </c>
      <c r="K32" s="465" t="s">
        <v>139</v>
      </c>
      <c r="L32" s="465" t="s">
        <v>139</v>
      </c>
      <c r="M32" s="465" t="s">
        <v>139</v>
      </c>
      <c r="N32" s="465" t="s">
        <v>139</v>
      </c>
      <c r="O32" s="465" t="s">
        <v>139</v>
      </c>
      <c r="P32" s="465" t="s">
        <v>139</v>
      </c>
      <c r="Q32" s="465" t="s">
        <v>139</v>
      </c>
      <c r="R32" s="465" t="s">
        <v>139</v>
      </c>
      <c r="S32" s="465"/>
    </row>
    <row r="33" spans="2:21" ht="13.5" customHeight="1">
      <c r="B33" s="464" t="s">
        <v>1058</v>
      </c>
      <c r="C33" s="464" t="s">
        <v>1058</v>
      </c>
      <c r="D33" s="465" t="s">
        <v>139</v>
      </c>
      <c r="E33" s="465" t="s">
        <v>139</v>
      </c>
      <c r="F33" s="465" t="s">
        <v>139</v>
      </c>
      <c r="G33" s="465" t="s">
        <v>139</v>
      </c>
      <c r="H33" s="465" t="s">
        <v>139</v>
      </c>
      <c r="I33" s="465" t="s">
        <v>139</v>
      </c>
      <c r="J33" s="465" t="s">
        <v>139</v>
      </c>
      <c r="K33" s="465" t="s">
        <v>139</v>
      </c>
      <c r="L33" s="465" t="s">
        <v>139</v>
      </c>
      <c r="M33" s="465" t="s">
        <v>139</v>
      </c>
      <c r="N33" s="465" t="s">
        <v>139</v>
      </c>
      <c r="O33" s="465" t="s">
        <v>139</v>
      </c>
      <c r="P33" s="465" t="s">
        <v>139</v>
      </c>
      <c r="Q33" s="465" t="s">
        <v>139</v>
      </c>
      <c r="R33" s="465" t="s">
        <v>139</v>
      </c>
      <c r="S33" s="465"/>
    </row>
    <row r="34" spans="2:21" ht="13.5" customHeight="1">
      <c r="B34" s="464" t="s">
        <v>1059</v>
      </c>
      <c r="C34" s="464" t="s">
        <v>1059</v>
      </c>
      <c r="D34" s="465" t="s">
        <v>139</v>
      </c>
      <c r="E34" s="465" t="s">
        <v>139</v>
      </c>
      <c r="F34" s="465" t="s">
        <v>139</v>
      </c>
      <c r="G34" s="465" t="s">
        <v>139</v>
      </c>
      <c r="H34" s="465" t="s">
        <v>139</v>
      </c>
      <c r="I34" s="465" t="s">
        <v>139</v>
      </c>
      <c r="J34" s="465" t="s">
        <v>139</v>
      </c>
      <c r="K34" s="465" t="s">
        <v>139</v>
      </c>
      <c r="L34" s="465" t="s">
        <v>139</v>
      </c>
      <c r="M34" s="465" t="s">
        <v>139</v>
      </c>
      <c r="N34" s="465" t="s">
        <v>139</v>
      </c>
      <c r="O34" s="465" t="s">
        <v>139</v>
      </c>
      <c r="P34" s="465" t="s">
        <v>139</v>
      </c>
      <c r="Q34" s="465" t="s">
        <v>139</v>
      </c>
      <c r="R34" s="465" t="s">
        <v>139</v>
      </c>
      <c r="S34" s="465"/>
    </row>
    <row r="35" spans="2:21" ht="13.5" customHeight="1">
      <c r="B35" s="464" t="s">
        <v>242</v>
      </c>
      <c r="C35" s="464" t="s">
        <v>242</v>
      </c>
      <c r="D35" s="465" t="s">
        <v>139</v>
      </c>
      <c r="E35" s="465" t="s">
        <v>139</v>
      </c>
      <c r="F35" s="465" t="s">
        <v>139</v>
      </c>
      <c r="G35" s="465" t="s">
        <v>139</v>
      </c>
      <c r="H35" s="465" t="s">
        <v>139</v>
      </c>
      <c r="I35" s="465" t="s">
        <v>139</v>
      </c>
      <c r="J35" s="465" t="s">
        <v>139</v>
      </c>
      <c r="K35" s="465" t="s">
        <v>139</v>
      </c>
      <c r="L35" s="465" t="s">
        <v>139</v>
      </c>
      <c r="M35" s="465" t="s">
        <v>139</v>
      </c>
      <c r="N35" s="465" t="s">
        <v>139</v>
      </c>
      <c r="O35" s="465" t="s">
        <v>139</v>
      </c>
      <c r="P35" s="465" t="s">
        <v>139</v>
      </c>
      <c r="Q35" s="465" t="s">
        <v>139</v>
      </c>
      <c r="R35" s="465" t="s">
        <v>139</v>
      </c>
      <c r="S35" s="465"/>
    </row>
    <row r="36" spans="2:21" ht="13.5" customHeight="1">
      <c r="B36" s="464" t="s">
        <v>1060</v>
      </c>
      <c r="C36" s="464" t="s">
        <v>1060</v>
      </c>
      <c r="D36" s="465" t="s">
        <v>139</v>
      </c>
      <c r="E36" s="465" t="s">
        <v>139</v>
      </c>
      <c r="F36" s="465" t="s">
        <v>139</v>
      </c>
      <c r="G36" s="465" t="s">
        <v>139</v>
      </c>
      <c r="H36" s="465" t="s">
        <v>139</v>
      </c>
      <c r="I36" s="465" t="s">
        <v>139</v>
      </c>
      <c r="J36" s="465" t="s">
        <v>139</v>
      </c>
      <c r="K36" s="465" t="s">
        <v>139</v>
      </c>
      <c r="L36" s="465" t="s">
        <v>139</v>
      </c>
      <c r="M36" s="465" t="s">
        <v>139</v>
      </c>
      <c r="N36" s="465" t="s">
        <v>139</v>
      </c>
      <c r="O36" s="465" t="s">
        <v>139</v>
      </c>
      <c r="P36" s="465" t="s">
        <v>139</v>
      </c>
      <c r="Q36" s="465" t="s">
        <v>139</v>
      </c>
      <c r="R36" s="465" t="s">
        <v>139</v>
      </c>
      <c r="S36" s="465"/>
    </row>
    <row r="37" spans="2:21" ht="13.5" customHeight="1">
      <c r="B37" s="464" t="s">
        <v>1061</v>
      </c>
      <c r="C37" s="464" t="s">
        <v>1061</v>
      </c>
      <c r="D37" s="465">
        <v>17.218423182233476</v>
      </c>
      <c r="E37" s="465">
        <v>25.889521675413935</v>
      </c>
      <c r="F37" s="465">
        <v>29.464617954498873</v>
      </c>
      <c r="G37" s="465">
        <v>32.348164748554368</v>
      </c>
      <c r="H37" s="465">
        <v>36.624899901342076</v>
      </c>
      <c r="I37" s="465">
        <v>36.663812436391375</v>
      </c>
      <c r="J37" s="465">
        <v>41.022782587137016</v>
      </c>
      <c r="K37" s="465">
        <v>45.062299653916718</v>
      </c>
      <c r="L37" s="465">
        <v>45.915034378774926</v>
      </c>
      <c r="M37" s="465">
        <v>47.818519324768964</v>
      </c>
      <c r="N37" s="465">
        <v>45.772240007969181</v>
      </c>
      <c r="O37" s="465">
        <v>45.198336431560406</v>
      </c>
      <c r="P37" s="465">
        <v>44.903309656187417</v>
      </c>
      <c r="Q37" s="465">
        <v>44.799776383860177</v>
      </c>
      <c r="R37" s="465">
        <v>44.765428057868604</v>
      </c>
      <c r="S37" s="465"/>
    </row>
    <row r="38" spans="2:21" ht="16.5" customHeight="1">
      <c r="B38" s="464" t="s">
        <v>1074</v>
      </c>
      <c r="C38" s="464" t="s">
        <v>127</v>
      </c>
      <c r="D38" s="465">
        <v>13.768006045751802</v>
      </c>
      <c r="E38" s="465">
        <v>15.878171347999359</v>
      </c>
      <c r="F38" s="465">
        <v>19.002288335695049</v>
      </c>
      <c r="G38" s="465">
        <v>20.938019714090494</v>
      </c>
      <c r="H38" s="465">
        <v>23.492200207546919</v>
      </c>
      <c r="I38" s="465">
        <v>25.450416334412129</v>
      </c>
      <c r="J38" s="465">
        <v>34.053661020392781</v>
      </c>
      <c r="K38" s="465">
        <v>36.404172838016642</v>
      </c>
      <c r="L38" s="465">
        <v>37.738135845209605</v>
      </c>
      <c r="M38" s="465">
        <v>38.559401320845339</v>
      </c>
      <c r="N38" s="465">
        <v>38.859193373888289</v>
      </c>
      <c r="O38" s="465">
        <v>40.109290819782203</v>
      </c>
      <c r="P38" s="465">
        <v>41.325643844408084</v>
      </c>
      <c r="Q38" s="465">
        <v>42.174454571051733</v>
      </c>
      <c r="R38" s="465">
        <v>43.009575091842528</v>
      </c>
      <c r="S38" s="465"/>
    </row>
    <row r="39" spans="2:21" ht="13.5" customHeight="1">
      <c r="B39" s="464" t="s">
        <v>1062</v>
      </c>
      <c r="C39" s="464" t="s">
        <v>1062</v>
      </c>
      <c r="D39" s="465" t="s">
        <v>139</v>
      </c>
      <c r="E39" s="465" t="s">
        <v>139</v>
      </c>
      <c r="F39" s="465" t="s">
        <v>139</v>
      </c>
      <c r="G39" s="465" t="s">
        <v>139</v>
      </c>
      <c r="H39" s="465" t="s">
        <v>139</v>
      </c>
      <c r="I39" s="465" t="s">
        <v>139</v>
      </c>
      <c r="J39" s="465" t="s">
        <v>139</v>
      </c>
      <c r="K39" s="465" t="s">
        <v>139</v>
      </c>
      <c r="L39" s="465" t="s">
        <v>139</v>
      </c>
      <c r="M39" s="465" t="s">
        <v>139</v>
      </c>
      <c r="N39" s="465" t="s">
        <v>139</v>
      </c>
      <c r="O39" s="465" t="s">
        <v>139</v>
      </c>
      <c r="P39" s="465" t="s">
        <v>139</v>
      </c>
      <c r="Q39" s="465" t="s">
        <v>139</v>
      </c>
      <c r="R39" s="465" t="s">
        <v>139</v>
      </c>
      <c r="S39" s="465"/>
    </row>
    <row r="40" spans="2:21" ht="13.5" customHeight="1">
      <c r="B40" s="464" t="s">
        <v>1063</v>
      </c>
      <c r="C40" s="464" t="s">
        <v>1063</v>
      </c>
      <c r="D40" s="465" t="s">
        <v>139</v>
      </c>
      <c r="E40" s="465" t="s">
        <v>139</v>
      </c>
      <c r="F40" s="465" t="s">
        <v>139</v>
      </c>
      <c r="G40" s="465" t="s">
        <v>139</v>
      </c>
      <c r="H40" s="465" t="s">
        <v>139</v>
      </c>
      <c r="I40" s="465" t="s">
        <v>139</v>
      </c>
      <c r="J40" s="465" t="s">
        <v>139</v>
      </c>
      <c r="K40" s="465" t="s">
        <v>139</v>
      </c>
      <c r="L40" s="465" t="s">
        <v>139</v>
      </c>
      <c r="M40" s="465" t="s">
        <v>139</v>
      </c>
      <c r="N40" s="465" t="s">
        <v>139</v>
      </c>
      <c r="O40" s="465" t="s">
        <v>139</v>
      </c>
      <c r="P40" s="465" t="s">
        <v>139</v>
      </c>
      <c r="Q40" s="465" t="s">
        <v>139</v>
      </c>
      <c r="R40" s="465" t="s">
        <v>139</v>
      </c>
      <c r="S40" s="465"/>
    </row>
    <row r="41" spans="2:21" ht="13.5" customHeight="1">
      <c r="B41" s="464" t="s">
        <v>237</v>
      </c>
      <c r="C41" s="464" t="s">
        <v>237</v>
      </c>
      <c r="D41" s="465" t="s">
        <v>139</v>
      </c>
      <c r="E41" s="465" t="s">
        <v>139</v>
      </c>
      <c r="F41" s="465" t="s">
        <v>139</v>
      </c>
      <c r="G41" s="465" t="s">
        <v>139</v>
      </c>
      <c r="H41" s="465" t="s">
        <v>139</v>
      </c>
      <c r="I41" s="465" t="s">
        <v>139</v>
      </c>
      <c r="J41" s="465" t="s">
        <v>139</v>
      </c>
      <c r="K41" s="465" t="s">
        <v>139</v>
      </c>
      <c r="L41" s="465" t="s">
        <v>139</v>
      </c>
      <c r="M41" s="465" t="s">
        <v>139</v>
      </c>
      <c r="N41" s="465" t="s">
        <v>139</v>
      </c>
      <c r="O41" s="465" t="s">
        <v>139</v>
      </c>
      <c r="P41" s="465" t="s">
        <v>139</v>
      </c>
      <c r="Q41" s="465" t="s">
        <v>139</v>
      </c>
      <c r="R41" s="465" t="s">
        <v>139</v>
      </c>
      <c r="S41" s="465"/>
    </row>
    <row r="42" spans="2:21" ht="13.5" customHeight="1">
      <c r="B42" s="464" t="s">
        <v>1064</v>
      </c>
      <c r="C42" s="464" t="s">
        <v>1064</v>
      </c>
      <c r="D42" s="465" t="s">
        <v>139</v>
      </c>
      <c r="E42" s="465" t="s">
        <v>139</v>
      </c>
      <c r="F42" s="465" t="s">
        <v>139</v>
      </c>
      <c r="G42" s="465" t="s">
        <v>139</v>
      </c>
      <c r="H42" s="465" t="s">
        <v>139</v>
      </c>
      <c r="I42" s="465" t="s">
        <v>139</v>
      </c>
      <c r="J42" s="465" t="s">
        <v>139</v>
      </c>
      <c r="K42" s="465" t="s">
        <v>139</v>
      </c>
      <c r="L42" s="465" t="s">
        <v>139</v>
      </c>
      <c r="M42" s="465" t="s">
        <v>139</v>
      </c>
      <c r="N42" s="465" t="s">
        <v>139</v>
      </c>
      <c r="O42" s="465" t="s">
        <v>139</v>
      </c>
      <c r="P42" s="465" t="s">
        <v>139</v>
      </c>
      <c r="Q42" s="465" t="s">
        <v>139</v>
      </c>
      <c r="R42" s="465" t="s">
        <v>139</v>
      </c>
      <c r="S42" s="465"/>
    </row>
    <row r="43" spans="2:21" ht="13.5" customHeight="1">
      <c r="B43" s="464" t="s">
        <v>1065</v>
      </c>
      <c r="C43" s="464" t="s">
        <v>1065</v>
      </c>
      <c r="D43" s="465" t="s">
        <v>139</v>
      </c>
      <c r="E43" s="465" t="s">
        <v>139</v>
      </c>
      <c r="F43" s="465" t="s">
        <v>139</v>
      </c>
      <c r="G43" s="465" t="s">
        <v>139</v>
      </c>
      <c r="H43" s="465" t="s">
        <v>139</v>
      </c>
      <c r="I43" s="465" t="s">
        <v>139</v>
      </c>
      <c r="J43" s="465" t="s">
        <v>139</v>
      </c>
      <c r="K43" s="465" t="s">
        <v>139</v>
      </c>
      <c r="L43" s="465" t="s">
        <v>139</v>
      </c>
      <c r="M43" s="465" t="s">
        <v>139</v>
      </c>
      <c r="N43" s="465" t="s">
        <v>139</v>
      </c>
      <c r="O43" s="465" t="s">
        <v>139</v>
      </c>
      <c r="P43" s="465" t="s">
        <v>139</v>
      </c>
      <c r="Q43" s="465" t="s">
        <v>139</v>
      </c>
      <c r="R43" s="465" t="s">
        <v>139</v>
      </c>
      <c r="S43" s="465"/>
    </row>
    <row r="44" spans="2:21" ht="13.5" customHeight="1">
      <c r="B44" s="464" t="s">
        <v>1066</v>
      </c>
      <c r="C44" s="464" t="s">
        <v>1066</v>
      </c>
      <c r="D44" s="465" t="s">
        <v>139</v>
      </c>
      <c r="E44" s="465" t="s">
        <v>139</v>
      </c>
      <c r="F44" s="465" t="s">
        <v>139</v>
      </c>
      <c r="G44" s="465" t="s">
        <v>139</v>
      </c>
      <c r="H44" s="465" t="s">
        <v>139</v>
      </c>
      <c r="I44" s="465" t="s">
        <v>139</v>
      </c>
      <c r="J44" s="465" t="s">
        <v>139</v>
      </c>
      <c r="K44" s="465" t="s">
        <v>139</v>
      </c>
      <c r="L44" s="465" t="s">
        <v>139</v>
      </c>
      <c r="M44" s="465" t="s">
        <v>139</v>
      </c>
      <c r="N44" s="465" t="s">
        <v>139</v>
      </c>
      <c r="O44" s="465" t="s">
        <v>139</v>
      </c>
      <c r="P44" s="465" t="s">
        <v>139</v>
      </c>
      <c r="Q44" s="465" t="s">
        <v>139</v>
      </c>
      <c r="R44" s="465" t="s">
        <v>139</v>
      </c>
      <c r="S44" s="465"/>
    </row>
    <row r="45" spans="2:21" ht="13.5" customHeight="1">
      <c r="B45" s="464" t="s">
        <v>243</v>
      </c>
      <c r="C45" s="464" t="s">
        <v>243</v>
      </c>
      <c r="D45" s="465" t="s">
        <v>139</v>
      </c>
      <c r="E45" s="465" t="s">
        <v>139</v>
      </c>
      <c r="F45" s="465" t="s">
        <v>139</v>
      </c>
      <c r="G45" s="465" t="s">
        <v>139</v>
      </c>
      <c r="H45" s="465" t="s">
        <v>139</v>
      </c>
      <c r="I45" s="465" t="s">
        <v>139</v>
      </c>
      <c r="J45" s="465" t="s">
        <v>139</v>
      </c>
      <c r="K45" s="465" t="s">
        <v>139</v>
      </c>
      <c r="L45" s="465" t="s">
        <v>139</v>
      </c>
      <c r="M45" s="465" t="s">
        <v>139</v>
      </c>
      <c r="N45" s="465" t="s">
        <v>139</v>
      </c>
      <c r="O45" s="465" t="s">
        <v>139</v>
      </c>
      <c r="P45" s="465" t="s">
        <v>139</v>
      </c>
      <c r="Q45" s="465" t="s">
        <v>139</v>
      </c>
      <c r="R45" s="465" t="s">
        <v>139</v>
      </c>
      <c r="S45" s="465"/>
    </row>
    <row r="46" spans="2:21">
      <c r="B46" s="464" t="s">
        <v>1067</v>
      </c>
      <c r="C46" s="464" t="s">
        <v>1067</v>
      </c>
      <c r="D46" s="465" t="s">
        <v>139</v>
      </c>
      <c r="E46" s="465" t="s">
        <v>139</v>
      </c>
      <c r="F46" s="465" t="s">
        <v>139</v>
      </c>
      <c r="G46" s="465" t="s">
        <v>139</v>
      </c>
      <c r="H46" s="465" t="s">
        <v>139</v>
      </c>
      <c r="I46" s="465" t="s">
        <v>139</v>
      </c>
      <c r="J46" s="465" t="s">
        <v>139</v>
      </c>
      <c r="K46" s="465" t="s">
        <v>139</v>
      </c>
      <c r="L46" s="465" t="s">
        <v>139</v>
      </c>
      <c r="M46" s="465" t="s">
        <v>139</v>
      </c>
      <c r="N46" s="465" t="s">
        <v>139</v>
      </c>
      <c r="O46" s="465" t="s">
        <v>139</v>
      </c>
      <c r="P46" s="465" t="s">
        <v>139</v>
      </c>
      <c r="Q46" s="465" t="s">
        <v>139</v>
      </c>
      <c r="R46" s="465" t="s">
        <v>139</v>
      </c>
      <c r="S46" s="465"/>
    </row>
    <row r="47" spans="2:21">
      <c r="B47" s="464" t="s">
        <v>128</v>
      </c>
      <c r="C47" s="464" t="s">
        <v>128</v>
      </c>
      <c r="D47" s="465" t="s">
        <v>139</v>
      </c>
      <c r="E47" s="465" t="s">
        <v>139</v>
      </c>
      <c r="F47" s="465" t="s">
        <v>139</v>
      </c>
      <c r="G47" s="465" t="s">
        <v>139</v>
      </c>
      <c r="H47" s="465" t="s">
        <v>139</v>
      </c>
      <c r="I47" s="465" t="s">
        <v>139</v>
      </c>
      <c r="J47" s="465" t="s">
        <v>139</v>
      </c>
      <c r="K47" s="465" t="s">
        <v>139</v>
      </c>
      <c r="L47" s="465" t="s">
        <v>139</v>
      </c>
      <c r="M47" s="465" t="s">
        <v>139</v>
      </c>
      <c r="N47" s="465" t="s">
        <v>139</v>
      </c>
      <c r="O47" s="465" t="s">
        <v>139</v>
      </c>
      <c r="P47" s="465" t="s">
        <v>139</v>
      </c>
      <c r="Q47" s="465" t="s">
        <v>139</v>
      </c>
      <c r="R47" s="465" t="s">
        <v>139</v>
      </c>
      <c r="S47" s="465"/>
      <c r="U47" s="515" t="s">
        <v>1078</v>
      </c>
    </row>
    <row r="48" spans="2:21">
      <c r="B48" s="464" t="s">
        <v>1068</v>
      </c>
      <c r="C48" s="464" t="s">
        <v>1068</v>
      </c>
      <c r="D48" s="465">
        <v>48.016125291194726</v>
      </c>
      <c r="E48" s="465">
        <v>56.165013277594369</v>
      </c>
      <c r="F48" s="465">
        <v>73.560591627916779</v>
      </c>
      <c r="G48" s="465">
        <v>81.924062399407859</v>
      </c>
      <c r="H48" s="465">
        <v>86.014431512029503</v>
      </c>
      <c r="I48" s="465">
        <v>91.136685190426363</v>
      </c>
      <c r="J48" s="465">
        <v>94.449874392205814</v>
      </c>
      <c r="K48" s="465">
        <v>82.444719480194223</v>
      </c>
      <c r="L48" s="465">
        <v>71.517695792364904</v>
      </c>
      <c r="M48" s="465">
        <v>66.882494456750223</v>
      </c>
      <c r="N48" s="465">
        <v>55.661950438011566</v>
      </c>
      <c r="O48" s="465">
        <v>43.067779831933208</v>
      </c>
      <c r="P48" s="465">
        <v>35.387705558648328</v>
      </c>
      <c r="Q48" s="465">
        <v>32.255590422615967</v>
      </c>
      <c r="R48" s="465">
        <v>29.943869986223671</v>
      </c>
      <c r="S48" s="465"/>
    </row>
    <row r="49" spans="2:19">
      <c r="B49" s="464" t="s">
        <v>1069</v>
      </c>
      <c r="C49" s="464" t="s">
        <v>1069</v>
      </c>
      <c r="D49" s="465" t="s">
        <v>145</v>
      </c>
      <c r="E49" s="465" t="s">
        <v>145</v>
      </c>
      <c r="F49" s="465" t="s">
        <v>145</v>
      </c>
      <c r="G49" s="465" t="s">
        <v>145</v>
      </c>
      <c r="H49" s="465" t="s">
        <v>145</v>
      </c>
      <c r="I49" s="465" t="s">
        <v>145</v>
      </c>
      <c r="J49" s="465" t="s">
        <v>145</v>
      </c>
      <c r="K49" s="465" t="s">
        <v>145</v>
      </c>
      <c r="L49" s="465" t="s">
        <v>145</v>
      </c>
      <c r="M49" s="465" t="s">
        <v>145</v>
      </c>
      <c r="N49" s="465" t="s">
        <v>145</v>
      </c>
      <c r="O49" s="465" t="s">
        <v>145</v>
      </c>
      <c r="P49" s="465" t="s">
        <v>145</v>
      </c>
      <c r="Q49" s="465" t="s">
        <v>145</v>
      </c>
      <c r="R49" s="465" t="s">
        <v>145</v>
      </c>
      <c r="S49" s="465"/>
    </row>
    <row r="50" spans="2:19">
      <c r="B50" s="466" t="s">
        <v>1070</v>
      </c>
      <c r="C50" s="466" t="s">
        <v>1070</v>
      </c>
      <c r="D50" s="467" t="s">
        <v>139</v>
      </c>
      <c r="E50" s="467" t="s">
        <v>139</v>
      </c>
      <c r="F50" s="467" t="s">
        <v>139</v>
      </c>
      <c r="G50" s="467" t="s">
        <v>139</v>
      </c>
      <c r="H50" s="467" t="s">
        <v>139</v>
      </c>
      <c r="I50" s="467" t="s">
        <v>139</v>
      </c>
      <c r="J50" s="467" t="s">
        <v>139</v>
      </c>
      <c r="K50" s="467" t="s">
        <v>139</v>
      </c>
      <c r="L50" s="467" t="s">
        <v>139</v>
      </c>
      <c r="M50" s="467" t="s">
        <v>139</v>
      </c>
      <c r="N50" s="467" t="s">
        <v>139</v>
      </c>
      <c r="O50" s="467" t="s">
        <v>139</v>
      </c>
      <c r="P50" s="467" t="s">
        <v>139</v>
      </c>
      <c r="Q50" s="467" t="s">
        <v>139</v>
      </c>
      <c r="R50" s="467" t="s">
        <v>139</v>
      </c>
      <c r="S50" s="465"/>
    </row>
    <row r="51" spans="2:19" ht="6" customHeight="1">
      <c r="B51" s="464"/>
      <c r="C51" s="464"/>
      <c r="D51" s="465"/>
      <c r="E51" s="465"/>
      <c r="F51" s="465"/>
      <c r="G51" s="465"/>
      <c r="H51" s="465"/>
      <c r="I51" s="465"/>
      <c r="J51" s="465"/>
      <c r="K51" s="465"/>
      <c r="L51" s="465"/>
      <c r="M51" s="465"/>
      <c r="N51" s="465"/>
      <c r="O51" s="465"/>
      <c r="P51" s="465"/>
      <c r="Q51" s="465"/>
      <c r="R51" s="465"/>
      <c r="S51" s="465"/>
    </row>
    <row r="52" spans="2:19" ht="11.25" customHeight="1">
      <c r="B52" s="613" t="s">
        <v>927</v>
      </c>
      <c r="C52" s="613"/>
      <c r="D52" s="613"/>
      <c r="E52" s="613"/>
      <c r="F52" s="613"/>
      <c r="G52" s="613"/>
      <c r="H52" s="613"/>
      <c r="I52" s="613"/>
      <c r="J52" s="613"/>
      <c r="K52" s="613"/>
      <c r="L52" s="613"/>
      <c r="M52" s="613"/>
      <c r="N52" s="613"/>
      <c r="O52" s="613"/>
      <c r="P52" s="613"/>
      <c r="Q52" s="613"/>
      <c r="R52" s="613"/>
      <c r="S52" s="468"/>
    </row>
    <row r="53" spans="2:19" ht="15" customHeight="1">
      <c r="B53" s="613" t="s">
        <v>1071</v>
      </c>
      <c r="C53" s="613"/>
      <c r="D53" s="613"/>
      <c r="E53" s="613"/>
      <c r="F53" s="613"/>
      <c r="G53" s="613"/>
      <c r="H53" s="613"/>
      <c r="I53" s="613"/>
      <c r="J53" s="613"/>
      <c r="K53" s="613"/>
      <c r="L53" s="613"/>
      <c r="M53" s="613"/>
      <c r="N53" s="613"/>
      <c r="O53" s="613"/>
      <c r="P53" s="613"/>
      <c r="Q53" s="613"/>
      <c r="R53" s="613"/>
      <c r="S53" s="507"/>
    </row>
    <row r="54" spans="2:19" ht="27" customHeight="1">
      <c r="B54" s="618" t="s">
        <v>1079</v>
      </c>
      <c r="C54" s="618"/>
      <c r="D54" s="618"/>
      <c r="E54" s="618"/>
      <c r="F54" s="618"/>
      <c r="G54" s="618"/>
      <c r="H54" s="618"/>
      <c r="I54" s="618"/>
      <c r="J54" s="618"/>
      <c r="K54" s="618"/>
      <c r="L54" s="618"/>
      <c r="M54" s="618"/>
      <c r="N54" s="618"/>
      <c r="O54" s="618"/>
      <c r="P54" s="618"/>
      <c r="Q54" s="618"/>
      <c r="R54" s="618"/>
      <c r="S54" s="498"/>
    </row>
    <row r="55" spans="2:19" ht="24.75" customHeight="1">
      <c r="B55" s="613"/>
      <c r="C55" s="613"/>
      <c r="D55" s="613"/>
      <c r="E55" s="613"/>
      <c r="F55" s="613"/>
      <c r="G55" s="613"/>
      <c r="H55" s="613"/>
      <c r="I55" s="613"/>
      <c r="J55" s="613"/>
      <c r="K55" s="613"/>
      <c r="L55" s="613"/>
      <c r="M55" s="613"/>
      <c r="N55" s="613"/>
      <c r="O55" s="613"/>
      <c r="P55" s="613"/>
      <c r="Q55" s="613"/>
      <c r="R55" s="468"/>
      <c r="S55" s="507"/>
    </row>
    <row r="56" spans="2:19">
      <c r="B56" s="464"/>
      <c r="C56" s="464"/>
      <c r="D56" s="469"/>
      <c r="E56" s="469"/>
      <c r="F56" s="469"/>
      <c r="G56" s="469"/>
      <c r="H56" s="469"/>
      <c r="I56" s="469"/>
      <c r="J56" s="469"/>
      <c r="K56" s="469"/>
      <c r="L56" s="469"/>
      <c r="M56" s="469"/>
      <c r="N56" s="469"/>
      <c r="O56" s="469"/>
      <c r="P56" s="469"/>
      <c r="Q56" s="469"/>
      <c r="R56" s="469"/>
    </row>
    <row r="57" spans="2:19">
      <c r="B57" s="464"/>
      <c r="C57" s="464"/>
      <c r="D57" s="469"/>
      <c r="E57" s="469"/>
      <c r="F57" s="469"/>
      <c r="G57" s="469"/>
      <c r="H57" s="469"/>
      <c r="I57" s="469"/>
      <c r="J57" s="469"/>
      <c r="K57" s="469"/>
      <c r="L57" s="469"/>
      <c r="M57" s="469"/>
      <c r="N57" s="469"/>
      <c r="O57" s="469"/>
      <c r="P57" s="469"/>
      <c r="Q57" s="469"/>
      <c r="R57" s="469"/>
    </row>
    <row r="58" spans="2:19">
      <c r="B58" s="464"/>
      <c r="C58" s="464"/>
      <c r="D58" s="469"/>
      <c r="E58" s="469"/>
      <c r="F58" s="469"/>
      <c r="G58" s="469"/>
      <c r="H58" s="469"/>
      <c r="I58" s="469"/>
      <c r="J58" s="469"/>
      <c r="K58" s="469"/>
      <c r="L58" s="469"/>
      <c r="M58" s="469"/>
      <c r="N58" s="469"/>
      <c r="O58" s="469"/>
      <c r="P58" s="469"/>
      <c r="Q58" s="469"/>
      <c r="R58" s="469"/>
    </row>
    <row r="59" spans="2:19">
      <c r="B59" s="464"/>
      <c r="C59" s="464"/>
      <c r="D59" s="469"/>
      <c r="E59" s="469"/>
      <c r="F59" s="469"/>
      <c r="G59" s="469"/>
      <c r="H59" s="469"/>
      <c r="I59" s="469"/>
      <c r="J59" s="469"/>
      <c r="K59" s="469"/>
      <c r="L59" s="469"/>
      <c r="M59" s="469"/>
      <c r="N59" s="469"/>
      <c r="O59" s="469"/>
      <c r="P59" s="469"/>
      <c r="Q59" s="469"/>
      <c r="R59" s="469"/>
    </row>
    <row r="60" spans="2:19">
      <c r="B60" s="464"/>
      <c r="C60" s="464"/>
      <c r="D60" s="469"/>
      <c r="E60" s="469"/>
      <c r="F60" s="469"/>
      <c r="G60" s="469"/>
      <c r="H60" s="469"/>
      <c r="I60" s="469"/>
      <c r="J60" s="469"/>
      <c r="K60" s="469"/>
      <c r="L60" s="469"/>
      <c r="M60" s="469"/>
      <c r="N60" s="469"/>
      <c r="O60" s="469"/>
      <c r="P60" s="469"/>
      <c r="Q60" s="469"/>
      <c r="R60" s="469"/>
    </row>
    <row r="61" spans="2:19">
      <c r="B61" s="464"/>
      <c r="C61" s="464"/>
      <c r="D61" s="469"/>
      <c r="E61" s="469"/>
      <c r="F61" s="469"/>
      <c r="G61" s="469"/>
      <c r="H61" s="469"/>
      <c r="I61" s="469"/>
      <c r="J61" s="469"/>
      <c r="K61" s="469"/>
      <c r="L61" s="469"/>
      <c r="M61" s="469"/>
      <c r="N61" s="469"/>
      <c r="O61" s="469"/>
      <c r="P61" s="469"/>
      <c r="Q61" s="469"/>
      <c r="R61" s="469"/>
    </row>
    <row r="62" spans="2:19">
      <c r="B62" s="464"/>
      <c r="C62" s="464"/>
      <c r="D62" s="469"/>
      <c r="E62" s="469"/>
      <c r="F62" s="469"/>
      <c r="G62" s="469"/>
      <c r="H62" s="469"/>
      <c r="I62" s="469"/>
      <c r="J62" s="469"/>
      <c r="K62" s="469"/>
      <c r="L62" s="469"/>
      <c r="M62" s="469"/>
      <c r="N62" s="469"/>
      <c r="O62" s="469"/>
      <c r="P62" s="469"/>
      <c r="Q62" s="469"/>
      <c r="R62" s="469"/>
    </row>
    <row r="63" spans="2:19">
      <c r="B63" s="464"/>
      <c r="C63" s="464"/>
      <c r="D63" s="469"/>
      <c r="E63" s="469"/>
      <c r="F63" s="469"/>
      <c r="G63" s="469"/>
      <c r="H63" s="469"/>
      <c r="I63" s="469"/>
      <c r="J63" s="469"/>
      <c r="K63" s="469"/>
      <c r="L63" s="469"/>
      <c r="M63" s="469"/>
      <c r="N63" s="469"/>
      <c r="O63" s="469"/>
      <c r="P63" s="469"/>
      <c r="Q63" s="469"/>
      <c r="R63" s="469"/>
    </row>
    <row r="64" spans="2:19">
      <c r="B64" s="464"/>
      <c r="C64" s="464"/>
      <c r="D64" s="469"/>
      <c r="E64" s="469"/>
      <c r="F64" s="469"/>
      <c r="G64" s="469"/>
      <c r="H64" s="469"/>
      <c r="I64" s="469"/>
      <c r="J64" s="469"/>
      <c r="K64" s="469"/>
      <c r="L64" s="469"/>
      <c r="M64" s="469"/>
      <c r="N64" s="469"/>
      <c r="O64" s="469"/>
      <c r="P64" s="469"/>
      <c r="Q64" s="469"/>
      <c r="R64" s="469"/>
    </row>
    <row r="65" spans="2:18">
      <c r="B65" s="464"/>
      <c r="C65" s="464"/>
      <c r="D65" s="469"/>
      <c r="E65" s="469"/>
      <c r="F65" s="469"/>
      <c r="G65" s="469"/>
      <c r="H65" s="469"/>
      <c r="I65" s="469"/>
      <c r="J65" s="469"/>
      <c r="K65" s="469"/>
      <c r="L65" s="469"/>
      <c r="M65" s="469"/>
      <c r="N65" s="469"/>
      <c r="O65" s="469"/>
      <c r="P65" s="469"/>
      <c r="Q65" s="469"/>
      <c r="R65" s="469"/>
    </row>
    <row r="66" spans="2:18">
      <c r="B66" s="464"/>
      <c r="C66" s="464"/>
      <c r="D66" s="469"/>
      <c r="E66" s="469"/>
      <c r="F66" s="469"/>
      <c r="G66" s="469"/>
      <c r="H66" s="469"/>
      <c r="I66" s="469"/>
      <c r="J66" s="469"/>
      <c r="K66" s="469"/>
      <c r="L66" s="469"/>
      <c r="M66" s="469"/>
      <c r="N66" s="469"/>
      <c r="O66" s="469"/>
      <c r="P66" s="469"/>
      <c r="Q66" s="469"/>
      <c r="R66" s="469"/>
    </row>
    <row r="67" spans="2:18">
      <c r="B67" s="464"/>
      <c r="C67" s="464"/>
      <c r="D67" s="469"/>
      <c r="E67" s="469"/>
      <c r="F67" s="469"/>
      <c r="G67" s="469"/>
      <c r="H67" s="469"/>
      <c r="I67" s="469"/>
      <c r="J67" s="469"/>
      <c r="K67" s="469"/>
      <c r="L67" s="469"/>
      <c r="M67" s="469"/>
      <c r="N67" s="469"/>
      <c r="O67" s="469"/>
      <c r="P67" s="469"/>
      <c r="Q67" s="469"/>
      <c r="R67" s="469"/>
    </row>
    <row r="68" spans="2:18">
      <c r="B68" s="464"/>
      <c r="C68" s="464"/>
      <c r="D68" s="469"/>
      <c r="E68" s="469"/>
      <c r="F68" s="469"/>
      <c r="G68" s="469"/>
      <c r="H68" s="469"/>
      <c r="I68" s="469"/>
      <c r="J68" s="469"/>
      <c r="K68" s="469"/>
      <c r="L68" s="469"/>
      <c r="M68" s="469"/>
      <c r="N68" s="469"/>
      <c r="O68" s="469"/>
      <c r="P68" s="469"/>
      <c r="Q68" s="469"/>
      <c r="R68" s="469"/>
    </row>
    <row r="69" spans="2:18">
      <c r="B69" s="464"/>
      <c r="C69" s="464"/>
      <c r="D69" s="469"/>
      <c r="E69" s="469"/>
      <c r="F69" s="469"/>
      <c r="G69" s="469"/>
      <c r="H69" s="469"/>
      <c r="I69" s="469"/>
      <c r="J69" s="469"/>
      <c r="K69" s="469"/>
      <c r="L69" s="469"/>
      <c r="M69" s="469"/>
      <c r="N69" s="469"/>
      <c r="O69" s="469"/>
      <c r="P69" s="469"/>
      <c r="Q69" s="469"/>
      <c r="R69" s="469"/>
    </row>
    <row r="70" spans="2:18">
      <c r="B70" s="464"/>
      <c r="C70" s="464"/>
      <c r="D70" s="469"/>
      <c r="E70" s="469"/>
      <c r="F70" s="469"/>
      <c r="G70" s="469"/>
      <c r="H70" s="469"/>
      <c r="I70" s="469"/>
      <c r="J70" s="469"/>
      <c r="K70" s="469"/>
      <c r="L70" s="469"/>
      <c r="M70" s="469"/>
      <c r="N70" s="469"/>
      <c r="O70" s="469"/>
      <c r="P70" s="469"/>
      <c r="Q70" s="469"/>
      <c r="R70" s="469"/>
    </row>
    <row r="71" spans="2:18">
      <c r="B71" s="464"/>
      <c r="C71" s="464"/>
      <c r="D71" s="469"/>
      <c r="E71" s="469"/>
      <c r="F71" s="469"/>
      <c r="G71" s="469"/>
      <c r="H71" s="469"/>
      <c r="I71" s="469"/>
      <c r="J71" s="469"/>
      <c r="K71" s="469"/>
      <c r="L71" s="469"/>
      <c r="M71" s="469"/>
      <c r="N71" s="469"/>
      <c r="O71" s="469"/>
      <c r="P71" s="469"/>
      <c r="Q71" s="469"/>
      <c r="R71" s="469"/>
    </row>
    <row r="72" spans="2:18">
      <c r="B72" s="464"/>
      <c r="C72" s="464"/>
      <c r="D72" s="469"/>
      <c r="E72" s="469"/>
      <c r="F72" s="469"/>
      <c r="G72" s="469"/>
      <c r="H72" s="469"/>
      <c r="I72" s="469"/>
      <c r="J72" s="469"/>
      <c r="K72" s="469"/>
      <c r="L72" s="469"/>
      <c r="M72" s="469"/>
      <c r="N72" s="469"/>
      <c r="O72" s="469"/>
      <c r="P72" s="469"/>
      <c r="Q72" s="469"/>
      <c r="R72" s="469"/>
    </row>
    <row r="73" spans="2:18">
      <c r="B73" s="464"/>
      <c r="C73" s="464"/>
      <c r="D73" s="469"/>
      <c r="E73" s="469"/>
      <c r="F73" s="469"/>
      <c r="G73" s="469"/>
      <c r="H73" s="469"/>
      <c r="I73" s="469"/>
      <c r="J73" s="469"/>
      <c r="K73" s="469"/>
      <c r="L73" s="469"/>
      <c r="M73" s="469"/>
      <c r="N73" s="469"/>
      <c r="O73" s="469"/>
      <c r="P73" s="469"/>
      <c r="Q73" s="469"/>
      <c r="R73" s="469"/>
    </row>
    <row r="74" spans="2:18">
      <c r="B74" s="464"/>
      <c r="C74" s="464"/>
      <c r="D74" s="469"/>
      <c r="E74" s="469"/>
      <c r="F74" s="469"/>
      <c r="G74" s="469"/>
      <c r="H74" s="469"/>
      <c r="I74" s="469"/>
      <c r="J74" s="469"/>
      <c r="K74" s="469"/>
      <c r="L74" s="469"/>
      <c r="M74" s="469"/>
      <c r="N74" s="469"/>
      <c r="O74" s="469"/>
      <c r="P74" s="469"/>
      <c r="Q74" s="469"/>
      <c r="R74" s="469"/>
    </row>
    <row r="75" spans="2:18">
      <c r="B75" s="464"/>
      <c r="C75" s="464"/>
      <c r="D75" s="469"/>
      <c r="E75" s="469"/>
      <c r="F75" s="469"/>
      <c r="G75" s="469"/>
      <c r="H75" s="469"/>
      <c r="I75" s="469"/>
      <c r="J75" s="469"/>
      <c r="K75" s="469"/>
      <c r="L75" s="469"/>
      <c r="M75" s="469"/>
      <c r="N75" s="469"/>
      <c r="O75" s="469"/>
      <c r="P75" s="469"/>
      <c r="Q75" s="469"/>
      <c r="R75" s="469"/>
    </row>
    <row r="76" spans="2:18">
      <c r="B76" s="464"/>
      <c r="C76" s="464"/>
      <c r="D76" s="469"/>
      <c r="E76" s="469"/>
      <c r="F76" s="469"/>
      <c r="G76" s="469"/>
      <c r="H76" s="469"/>
      <c r="I76" s="469"/>
      <c r="J76" s="469"/>
      <c r="K76" s="469"/>
      <c r="L76" s="469"/>
      <c r="M76" s="469"/>
      <c r="N76" s="469"/>
      <c r="O76" s="469"/>
      <c r="P76" s="469"/>
      <c r="Q76" s="469"/>
      <c r="R76" s="469"/>
    </row>
    <row r="77" spans="2:18">
      <c r="B77" s="464"/>
      <c r="C77" s="464"/>
      <c r="D77" s="469"/>
      <c r="E77" s="469"/>
      <c r="F77" s="469"/>
      <c r="G77" s="469"/>
      <c r="H77" s="469"/>
      <c r="I77" s="469"/>
      <c r="J77" s="469"/>
      <c r="K77" s="469"/>
      <c r="L77" s="469"/>
      <c r="M77" s="469"/>
      <c r="N77" s="469"/>
      <c r="O77" s="469"/>
      <c r="P77" s="469"/>
      <c r="Q77" s="469"/>
      <c r="R77" s="469"/>
    </row>
  </sheetData>
  <mergeCells count="6">
    <mergeCell ref="B55:Q55"/>
    <mergeCell ref="B2:R2"/>
    <mergeCell ref="B3:R3"/>
    <mergeCell ref="B52:R52"/>
    <mergeCell ref="B53:R53"/>
    <mergeCell ref="B54:R54"/>
  </mergeCells>
  <conditionalFormatting sqref="B12:R50">
    <cfRule type="expression" dxfId="11" priority="2">
      <formula>MOD(ROW(),2)=0</formula>
    </cfRule>
  </conditionalFormatting>
  <conditionalFormatting sqref="D11:R11">
    <cfRule type="expression" dxfId="10" priority="1">
      <formula>MOD(ROW(),2)=0</formula>
    </cfRule>
  </conditionalFormatting>
  <pageMargins left="0.7" right="0.7" top="0.75" bottom="0.75" header="0.3" footer="0.3"/>
  <pageSetup scale="1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1E56B-E03E-4D2F-B88C-5370B7AE4CA1}">
  <sheetPr>
    <pageSetUpPr fitToPage="1"/>
  </sheetPr>
  <dimension ref="A1:O50"/>
  <sheetViews>
    <sheetView zoomScale="110" zoomScaleNormal="110" workbookViewId="0">
      <pane xSplit="1" ySplit="3" topLeftCell="C13" activePane="bottomRight" state="frozen"/>
      <selection pane="bottomRight" sqref="A1:M1"/>
      <selection pane="bottomLeft" activeCell="B88" sqref="B88:K88"/>
      <selection pane="topRight" activeCell="B88" sqref="B88:K88"/>
    </sheetView>
  </sheetViews>
  <sheetFormatPr defaultColWidth="8.7109375" defaultRowHeight="12.75" outlineLevelCol="1"/>
  <cols>
    <col min="1" max="1" width="15.140625" style="517" customWidth="1"/>
    <col min="2" max="2" width="15.140625" style="517" hidden="1" customWidth="1" outlineLevel="1"/>
    <col min="3" max="3" width="14.28515625" style="517" customWidth="1" collapsed="1"/>
    <col min="4" max="6" width="14.28515625" style="517" customWidth="1"/>
    <col min="7" max="9" width="14.28515625" style="534" customWidth="1"/>
    <col min="10" max="10" width="15.42578125" style="534" customWidth="1"/>
    <col min="11" max="12" width="14.28515625" style="534" customWidth="1"/>
    <col min="13" max="13" width="16.140625" style="517" customWidth="1"/>
    <col min="14" max="14" width="20.7109375" style="517" customWidth="1"/>
    <col min="15" max="15" width="25.42578125" style="517" hidden="1" customWidth="1"/>
    <col min="16" max="16384" width="8.7109375" style="517"/>
  </cols>
  <sheetData>
    <row r="1" spans="1:15" ht="18.75" customHeight="1">
      <c r="A1" s="623" t="s">
        <v>69</v>
      </c>
      <c r="B1" s="623"/>
      <c r="C1" s="623"/>
      <c r="D1" s="623"/>
      <c r="E1" s="623"/>
      <c r="F1" s="623"/>
      <c r="G1" s="623"/>
      <c r="H1" s="623"/>
      <c r="I1" s="623"/>
      <c r="J1" s="623"/>
      <c r="K1" s="623"/>
      <c r="L1" s="623"/>
      <c r="M1" s="623"/>
    </row>
    <row r="2" spans="1:15" s="518" customFormat="1" ht="14.25" customHeight="1">
      <c r="A2" s="624" t="s">
        <v>1080</v>
      </c>
      <c r="B2" s="625"/>
      <c r="C2" s="625"/>
      <c r="D2" s="625"/>
      <c r="E2" s="625"/>
      <c r="F2" s="625"/>
      <c r="G2" s="625"/>
      <c r="H2" s="625"/>
      <c r="I2" s="625"/>
      <c r="J2" s="625"/>
      <c r="K2" s="625"/>
      <c r="L2" s="625"/>
      <c r="M2" s="625"/>
    </row>
    <row r="3" spans="1:15" ht="78" customHeight="1">
      <c r="A3" s="519"/>
      <c r="B3" s="520"/>
      <c r="C3" s="521" t="s">
        <v>1081</v>
      </c>
      <c r="D3" s="521" t="s">
        <v>1082</v>
      </c>
      <c r="E3" s="521" t="s">
        <v>1083</v>
      </c>
      <c r="F3" s="521" t="s">
        <v>1084</v>
      </c>
      <c r="G3" s="521" t="s">
        <v>1085</v>
      </c>
      <c r="H3" s="521" t="s">
        <v>1086</v>
      </c>
      <c r="I3" s="521" t="s">
        <v>1087</v>
      </c>
      <c r="J3" s="521" t="s">
        <v>1088</v>
      </c>
      <c r="K3" s="521" t="s">
        <v>1089</v>
      </c>
      <c r="L3" s="521" t="s">
        <v>1090</v>
      </c>
      <c r="M3" s="521" t="s">
        <v>1091</v>
      </c>
    </row>
    <row r="4" spans="1:15">
      <c r="A4" s="522" t="s">
        <v>196</v>
      </c>
      <c r="B4" s="523"/>
      <c r="C4" s="524">
        <v>0.56209433029239808</v>
      </c>
      <c r="D4" s="524">
        <v>17.301444261890143</v>
      </c>
      <c r="E4" s="524">
        <v>2.3476987460342542</v>
      </c>
      <c r="F4" s="524">
        <v>94.878274804845901</v>
      </c>
      <c r="G4" s="524">
        <v>24.081636038508648</v>
      </c>
      <c r="H4" s="524">
        <v>7.311013246335329</v>
      </c>
      <c r="I4" s="524">
        <v>16.641385611265143</v>
      </c>
      <c r="J4" s="524">
        <v>-1.4449380742567071</v>
      </c>
      <c r="K4" s="524">
        <v>-3.2031829544636081</v>
      </c>
      <c r="L4" s="524">
        <v>-4.0398135149988388</v>
      </c>
      <c r="M4" s="524">
        <v>27.955926096824598</v>
      </c>
      <c r="N4" s="525"/>
    </row>
    <row r="5" spans="1:15">
      <c r="A5" s="526" t="s">
        <v>914</v>
      </c>
      <c r="B5" s="523"/>
      <c r="C5" s="524">
        <v>0.56396796166671825</v>
      </c>
      <c r="D5" s="524">
        <v>16.175391112467139</v>
      </c>
      <c r="E5" s="524">
        <v>2.6490753555347717</v>
      </c>
      <c r="F5" s="524">
        <v>106.22256918788707</v>
      </c>
      <c r="G5" s="524">
        <v>28.443092244432783</v>
      </c>
      <c r="H5" s="524">
        <v>7.0422943132138034</v>
      </c>
      <c r="I5" s="524">
        <v>18.980651884228173</v>
      </c>
      <c r="J5" s="524">
        <v>-1.3413456022028065</v>
      </c>
      <c r="K5" s="524">
        <v>-3.923023539926338</v>
      </c>
      <c r="L5" s="524">
        <v>-5.1462011864583452</v>
      </c>
      <c r="M5" s="524">
        <v>26.419394439731239</v>
      </c>
      <c r="N5" s="525"/>
    </row>
    <row r="6" spans="1:15">
      <c r="A6" s="526" t="s">
        <v>916</v>
      </c>
      <c r="B6" s="523"/>
      <c r="C6" s="524">
        <v>0.56285887469374241</v>
      </c>
      <c r="D6" s="524">
        <v>16.738401454460366</v>
      </c>
      <c r="E6" s="524">
        <v>2.5754406351685253</v>
      </c>
      <c r="F6" s="524">
        <v>103.54537929543554</v>
      </c>
      <c r="G6" s="524">
        <v>26.798674018425267</v>
      </c>
      <c r="H6" s="524">
        <v>7.1339924878238623</v>
      </c>
      <c r="I6" s="524">
        <v>18.153153727446686</v>
      </c>
      <c r="J6" s="524">
        <v>-1.3472342139309175</v>
      </c>
      <c r="K6" s="524">
        <v>-3.6825850219316911</v>
      </c>
      <c r="L6" s="524">
        <v>-4.8764385216970858</v>
      </c>
      <c r="M6" s="524">
        <v>26.455370062370108</v>
      </c>
      <c r="N6" s="525"/>
    </row>
    <row r="7" spans="1:15">
      <c r="A7" s="527" t="s">
        <v>917</v>
      </c>
      <c r="B7" s="527" t="s">
        <v>917</v>
      </c>
      <c r="C7" s="528">
        <v>2.2497854232788086</v>
      </c>
      <c r="D7" s="528">
        <v>84.217453002929688</v>
      </c>
      <c r="E7" s="528" t="s">
        <v>145</v>
      </c>
      <c r="F7" s="528" t="s">
        <v>145</v>
      </c>
      <c r="G7" s="528">
        <v>-1.3192011980363598</v>
      </c>
      <c r="H7" s="528">
        <v>7.5013698630136982</v>
      </c>
      <c r="I7" s="528">
        <v>4.9840008028142737</v>
      </c>
      <c r="J7" s="528" t="s">
        <v>139</v>
      </c>
      <c r="K7" s="528">
        <v>2.3110515893663415</v>
      </c>
      <c r="L7" s="528">
        <v>2.7134221681602999</v>
      </c>
      <c r="M7" s="528" t="s">
        <v>145</v>
      </c>
      <c r="N7" s="525"/>
    </row>
    <row r="8" spans="1:15" ht="14.25" customHeight="1">
      <c r="A8" s="529" t="s">
        <v>279</v>
      </c>
      <c r="B8" s="529" t="s">
        <v>279</v>
      </c>
      <c r="C8" s="528">
        <v>-8.0000400543212891E-2</v>
      </c>
      <c r="D8" s="528">
        <v>-3.3682186603546143</v>
      </c>
      <c r="E8" s="528">
        <v>1.3794379234313965</v>
      </c>
      <c r="F8" s="528">
        <v>55.774101257324219</v>
      </c>
      <c r="G8" s="528">
        <v>5.5372995960123568</v>
      </c>
      <c r="H8" s="528">
        <v>7.0356164383561648</v>
      </c>
      <c r="I8" s="528">
        <v>8.4469003228286255</v>
      </c>
      <c r="J8" s="528">
        <v>-0.32456767087230115</v>
      </c>
      <c r="K8" s="528">
        <v>-2.729641020227314</v>
      </c>
      <c r="L8" s="528">
        <v>-2.4146906166660589</v>
      </c>
      <c r="M8" s="528">
        <v>27.422740954716151</v>
      </c>
      <c r="O8" s="530" t="s">
        <v>1092</v>
      </c>
    </row>
    <row r="9" spans="1:15" ht="13.5" customHeight="1">
      <c r="A9" s="529" t="s">
        <v>439</v>
      </c>
      <c r="B9" s="529" t="s">
        <v>439</v>
      </c>
      <c r="C9" s="528">
        <v>1.1305246353149414</v>
      </c>
      <c r="D9" s="528">
        <v>24.671890258789063</v>
      </c>
      <c r="E9" s="528">
        <v>1.1510601043701172</v>
      </c>
      <c r="F9" s="528">
        <v>53.447330474853516</v>
      </c>
      <c r="G9" s="528">
        <v>10.021646611529935</v>
      </c>
      <c r="H9" s="528">
        <v>11.641095890410959</v>
      </c>
      <c r="I9" s="528">
        <v>6.4360577455055346</v>
      </c>
      <c r="J9" s="528">
        <v>-2.2705682880870772</v>
      </c>
      <c r="K9" s="528">
        <v>-1.1855804378667392</v>
      </c>
      <c r="L9" s="528">
        <v>-1.4493996226209351</v>
      </c>
      <c r="M9" s="528">
        <v>53.606863702873916</v>
      </c>
    </row>
    <row r="10" spans="1:15" ht="13.5" customHeight="1">
      <c r="A10" s="529" t="s">
        <v>444</v>
      </c>
      <c r="B10" s="529" t="s">
        <v>444</v>
      </c>
      <c r="C10" s="528">
        <v>1.3103218078613281</v>
      </c>
      <c r="D10" s="528">
        <v>41.133640289306641</v>
      </c>
      <c r="E10" s="528">
        <v>1.5139656066894531</v>
      </c>
      <c r="F10" s="528">
        <v>68.482048034667969</v>
      </c>
      <c r="G10" s="528">
        <v>14.062678279972232</v>
      </c>
      <c r="H10" s="528">
        <v>9.8109589041095884</v>
      </c>
      <c r="I10" s="528">
        <v>10.79956413405302</v>
      </c>
      <c r="J10" s="528">
        <v>-1.1831379236582755</v>
      </c>
      <c r="K10" s="528">
        <v>-2.3471448247207265</v>
      </c>
      <c r="L10" s="528">
        <v>-5.5261473252479156</v>
      </c>
      <c r="M10" s="528">
        <v>47.528328975858585</v>
      </c>
    </row>
    <row r="11" spans="1:15" ht="12.75" customHeight="1">
      <c r="A11" s="529" t="s">
        <v>87</v>
      </c>
      <c r="B11" s="529" t="s">
        <v>87</v>
      </c>
      <c r="C11" s="528">
        <v>0.72597694396972656</v>
      </c>
      <c r="D11" s="528">
        <v>15.733240127563477</v>
      </c>
      <c r="E11" s="528">
        <v>1.1029911041259766</v>
      </c>
      <c r="F11" s="528">
        <v>45.109535217285156</v>
      </c>
      <c r="G11" s="528">
        <v>12.40582129984649</v>
      </c>
      <c r="H11" s="528">
        <v>5.7698630136986298</v>
      </c>
      <c r="I11" s="528">
        <v>18.216415317095564</v>
      </c>
      <c r="J11" s="528">
        <v>-0.41171783397863182</v>
      </c>
      <c r="K11" s="528">
        <v>-0.51614720731031694</v>
      </c>
      <c r="L11" s="528">
        <v>-0.21491364782655861</v>
      </c>
      <c r="M11" s="528">
        <v>19.011237686043234</v>
      </c>
    </row>
    <row r="12" spans="1:15" ht="13.5" customHeight="1">
      <c r="A12" s="529" t="s">
        <v>421</v>
      </c>
      <c r="B12" s="529" t="s">
        <v>421</v>
      </c>
      <c r="C12" s="528">
        <v>0.66575336456298828</v>
      </c>
      <c r="D12" s="528">
        <v>18.515865325927734</v>
      </c>
      <c r="E12" s="528" t="s">
        <v>145</v>
      </c>
      <c r="F12" s="528" t="s">
        <v>145</v>
      </c>
      <c r="G12" s="528">
        <v>8.1</v>
      </c>
      <c r="H12" s="528">
        <v>8.0794520547945208</v>
      </c>
      <c r="I12" s="528">
        <v>9.8571041650402922</v>
      </c>
      <c r="J12" s="528">
        <v>-3.5436347536843908</v>
      </c>
      <c r="K12" s="528">
        <v>-1.3562338327920844</v>
      </c>
      <c r="L12" s="528">
        <v>1.3899374966875924</v>
      </c>
      <c r="M12" s="528">
        <v>74.294317710173232</v>
      </c>
      <c r="O12" s="530" t="s">
        <v>1093</v>
      </c>
    </row>
    <row r="13" spans="1:15" ht="13.5" customHeight="1">
      <c r="A13" s="529" t="s">
        <v>919</v>
      </c>
      <c r="B13" s="529" t="s">
        <v>919</v>
      </c>
      <c r="C13" s="528">
        <v>0.39444541931152344</v>
      </c>
      <c r="D13" s="528">
        <v>28.26109504699707</v>
      </c>
      <c r="E13" s="528">
        <v>0.61020755767822266</v>
      </c>
      <c r="F13" s="528">
        <v>25.357021331787109</v>
      </c>
      <c r="G13" s="528">
        <v>9.2427530068541301</v>
      </c>
      <c r="H13" s="528">
        <v>2.8547945205479452</v>
      </c>
      <c r="I13" s="528">
        <v>15.356406164864213</v>
      </c>
      <c r="J13" s="528">
        <v>-2.8305853164175097</v>
      </c>
      <c r="K13" s="528">
        <v>-0.56326088111459538</v>
      </c>
      <c r="L13" s="528">
        <v>-2.8458660008866521</v>
      </c>
      <c r="M13" s="528" t="s">
        <v>145</v>
      </c>
    </row>
    <row r="14" spans="1:15" ht="13.5" customHeight="1">
      <c r="A14" s="529" t="s">
        <v>451</v>
      </c>
      <c r="B14" s="529" t="s">
        <v>451</v>
      </c>
      <c r="C14" s="528">
        <v>-0.52407932281494141</v>
      </c>
      <c r="D14" s="528">
        <v>-18.794952392578125</v>
      </c>
      <c r="E14" s="528">
        <v>1.2512226104736328</v>
      </c>
      <c r="F14" s="528">
        <v>47.174640655517578</v>
      </c>
      <c r="G14" s="528">
        <v>0.61927051897254737</v>
      </c>
      <c r="H14" s="528">
        <v>8.8191780821917813</v>
      </c>
      <c r="I14" s="528">
        <v>3.4417069195850476</v>
      </c>
      <c r="J14" s="528">
        <v>0.39898649213144727</v>
      </c>
      <c r="K14" s="528">
        <v>0.2076308123622892</v>
      </c>
      <c r="L14" s="528">
        <v>0.23291253578812252</v>
      </c>
      <c r="M14" s="528">
        <v>22.354500647276549</v>
      </c>
    </row>
    <row r="15" spans="1:15" ht="13.5" customHeight="1">
      <c r="A15" s="529" t="s">
        <v>423</v>
      </c>
      <c r="B15" s="529" t="s">
        <v>423</v>
      </c>
      <c r="C15" s="528">
        <v>-0.54675531387329102</v>
      </c>
      <c r="D15" s="528">
        <v>-19.085412979125977</v>
      </c>
      <c r="E15" s="528">
        <v>0.50192689895629883</v>
      </c>
      <c r="F15" s="528">
        <v>23.882047653198242</v>
      </c>
      <c r="G15" s="528" t="s">
        <v>139</v>
      </c>
      <c r="H15" s="528">
        <v>6.0356164383561648</v>
      </c>
      <c r="I15" s="528">
        <v>3.4743161627369683</v>
      </c>
      <c r="J15" s="528">
        <v>-5.3442430124842151</v>
      </c>
      <c r="K15" s="528">
        <v>-0.10451570097495241</v>
      </c>
      <c r="L15" s="528">
        <v>-2.6925365738867204</v>
      </c>
      <c r="M15" s="528">
        <v>74.47414581054565</v>
      </c>
    </row>
    <row r="16" spans="1:15" ht="13.5" customHeight="1">
      <c r="A16" s="529" t="s">
        <v>481</v>
      </c>
      <c r="B16" s="529" t="s">
        <v>481</v>
      </c>
      <c r="C16" s="528">
        <v>0.4185028076171875</v>
      </c>
      <c r="D16" s="528">
        <v>-2.5880887508392334</v>
      </c>
      <c r="E16" s="528">
        <v>1.0595245361328125</v>
      </c>
      <c r="F16" s="528">
        <v>39.240348815917969</v>
      </c>
      <c r="G16" s="528">
        <v>10.99574945588385</v>
      </c>
      <c r="H16" s="528">
        <v>7.4767123287671229</v>
      </c>
      <c r="I16" s="528">
        <v>9.9584249949806942</v>
      </c>
      <c r="J16" s="528">
        <v>-1.3933239916624434</v>
      </c>
      <c r="K16" s="528">
        <v>-1.7816140212410092</v>
      </c>
      <c r="L16" s="528">
        <v>-2.7089381171386546</v>
      </c>
      <c r="M16" s="528">
        <v>40.563199272339858</v>
      </c>
    </row>
    <row r="17" spans="1:13" ht="13.5" customHeight="1">
      <c r="A17" s="529" t="s">
        <v>90</v>
      </c>
      <c r="B17" s="529" t="s">
        <v>90</v>
      </c>
      <c r="C17" s="528">
        <v>0.54424858093261719</v>
      </c>
      <c r="D17" s="528">
        <v>2.3753032684326172</v>
      </c>
      <c r="E17" s="528">
        <v>1.1883554458618164</v>
      </c>
      <c r="F17" s="528">
        <v>49.4442138671875</v>
      </c>
      <c r="G17" s="528">
        <v>15.952678374718136</v>
      </c>
      <c r="H17" s="528">
        <v>8.3397260273972602</v>
      </c>
      <c r="I17" s="528">
        <v>13.361972050303935</v>
      </c>
      <c r="J17" s="528">
        <v>-1.679996848500884</v>
      </c>
      <c r="K17" s="528">
        <v>-3.5680239605201534</v>
      </c>
      <c r="L17" s="528">
        <v>-4.4308379282656984</v>
      </c>
      <c r="M17" s="528">
        <v>43.352476702760988</v>
      </c>
    </row>
    <row r="18" spans="1:13" ht="13.5" customHeight="1">
      <c r="A18" s="529" t="s">
        <v>91</v>
      </c>
      <c r="B18" s="529" t="s">
        <v>91</v>
      </c>
      <c r="C18" s="528">
        <v>0.87897872924804688</v>
      </c>
      <c r="D18" s="528">
        <v>26.747653961181641</v>
      </c>
      <c r="E18" s="528">
        <v>0.71142482757568359</v>
      </c>
      <c r="F18" s="528">
        <v>38.758571624755859</v>
      </c>
      <c r="G18" s="528">
        <v>11.640839245978356</v>
      </c>
      <c r="H18" s="528">
        <v>6.4082191780821915</v>
      </c>
      <c r="I18" s="528">
        <v>10.480837529943058</v>
      </c>
      <c r="J18" s="528">
        <v>-2.2437820963747477</v>
      </c>
      <c r="K18" s="528">
        <v>0.94583403816358236</v>
      </c>
      <c r="L18" s="528">
        <v>-1.3516682670262095</v>
      </c>
      <c r="M18" s="528">
        <v>36.505099566924613</v>
      </c>
    </row>
    <row r="19" spans="1:13" ht="13.5" customHeight="1">
      <c r="A19" s="529" t="s">
        <v>920</v>
      </c>
      <c r="B19" s="529" t="s">
        <v>920</v>
      </c>
      <c r="C19" s="528">
        <v>1.2241575717926025</v>
      </c>
      <c r="D19" s="528">
        <v>47.884086608886719</v>
      </c>
      <c r="E19" s="528" t="s">
        <v>145</v>
      </c>
      <c r="F19" s="528" t="s">
        <v>145</v>
      </c>
      <c r="G19" s="528" t="s">
        <v>145</v>
      </c>
      <c r="H19" s="528" t="s">
        <v>145</v>
      </c>
      <c r="I19" s="528" t="s">
        <v>145</v>
      </c>
      <c r="J19" s="528">
        <v>-0.90626676151665619</v>
      </c>
      <c r="K19" s="528">
        <v>2.4981470728451676</v>
      </c>
      <c r="L19" s="528">
        <v>-0.4942032121307231</v>
      </c>
      <c r="M19" s="528" t="s">
        <v>145</v>
      </c>
    </row>
    <row r="20" spans="1:13" ht="13.5" customHeight="1">
      <c r="A20" s="529" t="s">
        <v>921</v>
      </c>
      <c r="B20" s="529" t="s">
        <v>921</v>
      </c>
      <c r="C20" s="528">
        <v>1.1770195960998535</v>
      </c>
      <c r="D20" s="528">
        <v>46.434864044189453</v>
      </c>
      <c r="E20" s="528">
        <v>1.2181100845336914</v>
      </c>
      <c r="F20" s="528">
        <v>54.984630584716797</v>
      </c>
      <c r="G20" s="528">
        <v>7.3114740243850012</v>
      </c>
      <c r="H20" s="528">
        <v>4.5199999999999996</v>
      </c>
      <c r="I20" s="528">
        <v>4.8870287626182645</v>
      </c>
      <c r="J20" s="528">
        <v>0.6402948788780265</v>
      </c>
      <c r="K20" s="528">
        <v>1.1149828963632253</v>
      </c>
      <c r="L20" s="528">
        <v>-0.51965811815135798</v>
      </c>
      <c r="M20" s="528">
        <v>13.343601714256245</v>
      </c>
    </row>
    <row r="21" spans="1:13" ht="13.5" customHeight="1">
      <c r="A21" s="529" t="s">
        <v>429</v>
      </c>
      <c r="B21" s="529" t="s">
        <v>429</v>
      </c>
      <c r="C21" s="528">
        <v>0.94080686569213867</v>
      </c>
      <c r="D21" s="528">
        <v>35.212165832519531</v>
      </c>
      <c r="E21" s="528">
        <v>0.43679046630859375</v>
      </c>
      <c r="F21" s="528">
        <v>21.183904647827148</v>
      </c>
      <c r="G21" s="528">
        <v>-1.2957500077721562E-2</v>
      </c>
      <c r="H21" s="528">
        <v>11.194520547945206</v>
      </c>
      <c r="I21" s="528">
        <v>3.5598274551696254</v>
      </c>
      <c r="J21" s="528">
        <v>-4.3924566366615725</v>
      </c>
      <c r="K21" s="528">
        <v>-2.6178361878925491</v>
      </c>
      <c r="L21" s="528">
        <v>1.1400579220216154</v>
      </c>
      <c r="M21" s="528">
        <v>53</v>
      </c>
    </row>
    <row r="22" spans="1:13" ht="13.5" customHeight="1">
      <c r="A22" s="529" t="s">
        <v>923</v>
      </c>
      <c r="B22" s="529" t="s">
        <v>923</v>
      </c>
      <c r="C22" s="528">
        <v>0.22816205024719238</v>
      </c>
      <c r="D22" s="528">
        <v>12.1654052734375</v>
      </c>
      <c r="E22" s="528">
        <v>0.27066707611083984</v>
      </c>
      <c r="F22" s="528">
        <v>14.318853378295898</v>
      </c>
      <c r="G22" s="528" t="s">
        <v>139</v>
      </c>
      <c r="H22" s="528">
        <v>7.8465753424657532</v>
      </c>
      <c r="I22" s="528">
        <v>7.3371031628999583</v>
      </c>
      <c r="J22" s="528">
        <v>-2.4379037611772949</v>
      </c>
      <c r="K22" s="528">
        <v>-2.7844410678195879</v>
      </c>
      <c r="L22" s="528">
        <v>-2.2526486750511845</v>
      </c>
      <c r="M22" s="528">
        <v>17.471111241681463</v>
      </c>
    </row>
    <row r="23" spans="1:13" ht="13.5" customHeight="1">
      <c r="A23" s="529" t="s">
        <v>92</v>
      </c>
      <c r="B23" s="529" t="s">
        <v>92</v>
      </c>
      <c r="C23" s="528">
        <v>1.5237617492675781</v>
      </c>
      <c r="D23" s="528">
        <v>33.546005249023438</v>
      </c>
      <c r="E23" s="528">
        <v>0.5435023307800293</v>
      </c>
      <c r="F23" s="528">
        <v>27.210329055786133</v>
      </c>
      <c r="G23" s="528">
        <v>23</v>
      </c>
      <c r="H23" s="528">
        <v>7.0136986301369859</v>
      </c>
      <c r="I23" s="528">
        <v>20.00185153089571</v>
      </c>
      <c r="J23" s="528">
        <v>-0.56827893123711681</v>
      </c>
      <c r="K23" s="528">
        <v>-2.475226985905898</v>
      </c>
      <c r="L23" s="528">
        <v>-2.205535239932638</v>
      </c>
      <c r="M23" s="528">
        <v>24.122311265337373</v>
      </c>
    </row>
    <row r="24" spans="1:13" ht="13.5" customHeight="1">
      <c r="A24" s="529" t="s">
        <v>96</v>
      </c>
      <c r="B24" s="529" t="s">
        <v>96</v>
      </c>
      <c r="C24" s="528">
        <v>-0.64188528060913086</v>
      </c>
      <c r="D24" s="528">
        <v>7.9745564460754395</v>
      </c>
      <c r="E24" s="528">
        <v>1.1385698318481445</v>
      </c>
      <c r="F24" s="528">
        <v>39.849884033203125</v>
      </c>
      <c r="G24" s="528">
        <v>48.804759910265361</v>
      </c>
      <c r="H24" s="528">
        <v>8.0219178082191789</v>
      </c>
      <c r="I24" s="528">
        <v>32.185589138759624</v>
      </c>
      <c r="J24" s="528">
        <v>-2.0915718856243175</v>
      </c>
      <c r="K24" s="528">
        <v>-4.6645211153122306</v>
      </c>
      <c r="L24" s="528">
        <v>-3.9152416333797011</v>
      </c>
      <c r="M24" s="528">
        <v>12.341683671344819</v>
      </c>
    </row>
    <row r="25" spans="1:13" ht="13.5" customHeight="1">
      <c r="A25" s="529" t="s">
        <v>283</v>
      </c>
      <c r="B25" s="529" t="s">
        <v>283</v>
      </c>
      <c r="C25" s="528">
        <v>1.1438446044921875</v>
      </c>
      <c r="D25" s="528">
        <v>50.592979431152344</v>
      </c>
      <c r="E25" s="528">
        <v>1.7783541679382324</v>
      </c>
      <c r="F25" s="528">
        <v>78.633934020996094</v>
      </c>
      <c r="G25" s="528">
        <v>4.0337278048026945</v>
      </c>
      <c r="H25" s="528">
        <v>9.6767123287671239</v>
      </c>
      <c r="I25" s="528">
        <v>5.712922663265755</v>
      </c>
      <c r="J25" s="528">
        <v>-2.5183933069434539</v>
      </c>
      <c r="K25" s="528">
        <v>1.3026482683431744</v>
      </c>
      <c r="L25" s="528">
        <v>-0.13432401823771481</v>
      </c>
      <c r="M25" s="528" t="s">
        <v>145</v>
      </c>
    </row>
    <row r="26" spans="1:13" ht="13.5" customHeight="1">
      <c r="A26" s="529" t="s">
        <v>442</v>
      </c>
      <c r="B26" s="529" t="s">
        <v>442</v>
      </c>
      <c r="C26" s="528">
        <v>-0.20112895965576172</v>
      </c>
      <c r="D26" s="528">
        <v>-9.9381551742553711</v>
      </c>
      <c r="E26" s="528">
        <v>0.68759870529174805</v>
      </c>
      <c r="F26" s="528">
        <v>29.549726486206055</v>
      </c>
      <c r="G26" s="528" t="s">
        <v>139</v>
      </c>
      <c r="H26" s="528">
        <v>8.2739726027397253</v>
      </c>
      <c r="I26" s="528">
        <v>5.0727195020909157</v>
      </c>
      <c r="J26" s="528">
        <v>-4.4970347949201361</v>
      </c>
      <c r="K26" s="528">
        <v>-0.74033353223097331</v>
      </c>
      <c r="L26" s="528">
        <v>-1.9952686112322862</v>
      </c>
      <c r="M26" s="528" t="s">
        <v>145</v>
      </c>
    </row>
    <row r="27" spans="1:13" ht="13.5" customHeight="1">
      <c r="A27" s="529" t="s">
        <v>433</v>
      </c>
      <c r="B27" s="529" t="s">
        <v>433</v>
      </c>
      <c r="C27" s="528">
        <v>0.58996915817260742</v>
      </c>
      <c r="D27" s="528">
        <v>17.521877288818359</v>
      </c>
      <c r="E27" s="528">
        <v>1.0251169204711914</v>
      </c>
      <c r="F27" s="528">
        <v>46.596736907958984</v>
      </c>
      <c r="G27" s="528">
        <v>7.1019826380495346</v>
      </c>
      <c r="H27" s="528">
        <v>9.3972602739726021</v>
      </c>
      <c r="I27" s="528">
        <v>4.2740999469122505</v>
      </c>
      <c r="J27" s="528">
        <v>-4.0257181841544432</v>
      </c>
      <c r="K27" s="528">
        <v>-0.63160953548835719</v>
      </c>
      <c r="L27" s="528">
        <v>-2.1515578551932992</v>
      </c>
      <c r="M27" s="528">
        <v>51.20318780981534</v>
      </c>
    </row>
    <row r="28" spans="1:13" ht="13.5" customHeight="1">
      <c r="A28" s="529" t="s">
        <v>440</v>
      </c>
      <c r="B28" s="529" t="s">
        <v>440</v>
      </c>
      <c r="C28" s="528">
        <v>1.6444110870361328</v>
      </c>
      <c r="D28" s="528">
        <v>62.256134033203125</v>
      </c>
      <c r="E28" s="528">
        <v>0.71959877014160156</v>
      </c>
      <c r="F28" s="528">
        <v>35.201808929443359</v>
      </c>
      <c r="G28" s="528" t="s">
        <v>145</v>
      </c>
      <c r="H28" s="528">
        <v>7.0273972602739727</v>
      </c>
      <c r="I28" s="528">
        <v>3.9052774053007382</v>
      </c>
      <c r="J28" s="528">
        <v>-3.1640826246563067</v>
      </c>
      <c r="K28" s="528">
        <v>1.5553273539775629</v>
      </c>
      <c r="L28" s="528">
        <v>-1.2148666963801114</v>
      </c>
      <c r="M28" s="528">
        <v>42.450402392213007</v>
      </c>
    </row>
    <row r="29" spans="1:13" ht="13.5" customHeight="1">
      <c r="A29" s="529" t="s">
        <v>437</v>
      </c>
      <c r="B29" s="529" t="s">
        <v>437</v>
      </c>
      <c r="C29" s="528">
        <v>-0.54596519470214844</v>
      </c>
      <c r="D29" s="528">
        <v>-4.6799359321594238</v>
      </c>
      <c r="E29" s="528" t="s">
        <v>145</v>
      </c>
      <c r="F29" s="528" t="s">
        <v>145</v>
      </c>
      <c r="G29" s="528">
        <v>11.698135588947981</v>
      </c>
      <c r="H29" s="528">
        <v>8.293150684931506</v>
      </c>
      <c r="I29" s="528">
        <v>6.8624479511627747</v>
      </c>
      <c r="J29" s="528">
        <v>-3.5644887873256743</v>
      </c>
      <c r="K29" s="528">
        <v>-0.17652327610767632</v>
      </c>
      <c r="L29" s="528">
        <v>-2.9297647533665518</v>
      </c>
      <c r="M29" s="528">
        <v>13.54893342695083</v>
      </c>
    </row>
    <row r="30" spans="1:13" ht="13.5" customHeight="1">
      <c r="A30" s="529" t="s">
        <v>441</v>
      </c>
      <c r="B30" s="529" t="s">
        <v>448</v>
      </c>
      <c r="C30" s="528">
        <v>1.0378913879394531</v>
      </c>
      <c r="D30" s="528">
        <v>34.299774169921875</v>
      </c>
      <c r="E30" s="528">
        <v>1.5626544952392578</v>
      </c>
      <c r="F30" s="528">
        <v>62.664230346679688</v>
      </c>
      <c r="G30" s="528">
        <v>6.4464785630605164</v>
      </c>
      <c r="H30" s="528">
        <v>8.493150684931507</v>
      </c>
      <c r="I30" s="528">
        <v>5.6724314666169633</v>
      </c>
      <c r="J30" s="528">
        <v>-2.5769206069126542</v>
      </c>
      <c r="K30" s="528">
        <v>-0.78579705314325721</v>
      </c>
      <c r="L30" s="528">
        <v>-1.6557462382276318</v>
      </c>
      <c r="M30" s="528">
        <v>33.418511845523689</v>
      </c>
    </row>
    <row r="31" spans="1:13" ht="13.5" customHeight="1">
      <c r="A31" s="529" t="s">
        <v>924</v>
      </c>
      <c r="B31" s="529" t="s">
        <v>924</v>
      </c>
      <c r="C31" s="528">
        <v>1.1017680168151855</v>
      </c>
      <c r="D31" s="528">
        <v>35.456245422363281</v>
      </c>
      <c r="E31" s="528">
        <v>1.2914528846740723</v>
      </c>
      <c r="F31" s="528">
        <v>54.628818511962891</v>
      </c>
      <c r="G31" s="528">
        <v>8.5408926826181357</v>
      </c>
      <c r="H31" s="528">
        <v>7.3315068493150681</v>
      </c>
      <c r="I31" s="528">
        <v>6.808350160469482</v>
      </c>
      <c r="J31" s="528">
        <v>-9.9476202052520626E-2</v>
      </c>
      <c r="K31" s="528">
        <v>-0.29722371577136641</v>
      </c>
      <c r="L31" s="528">
        <v>-1.3537979157574827</v>
      </c>
      <c r="M31" s="528">
        <v>28</v>
      </c>
    </row>
    <row r="32" spans="1:13" ht="13.5" customHeight="1">
      <c r="A32" s="529" t="s">
        <v>431</v>
      </c>
      <c r="B32" s="529" t="s">
        <v>431</v>
      </c>
      <c r="C32" s="528">
        <v>0.97733592987060547</v>
      </c>
      <c r="D32" s="528">
        <v>25.075910568237305</v>
      </c>
      <c r="E32" s="528">
        <v>1.376765251159668</v>
      </c>
      <c r="F32" s="528">
        <v>55.870784759521484</v>
      </c>
      <c r="G32" s="528" t="s">
        <v>145</v>
      </c>
      <c r="H32" s="528">
        <v>4.4438356164383563</v>
      </c>
      <c r="I32" s="528">
        <v>8.7319325087892015</v>
      </c>
      <c r="J32" s="528">
        <v>-9.0054040119492501E-2</v>
      </c>
      <c r="K32" s="528">
        <v>7.7712307055366061</v>
      </c>
      <c r="L32" s="528">
        <v>21.228829214758164</v>
      </c>
      <c r="M32" s="528">
        <v>55.520762295989442</v>
      </c>
    </row>
    <row r="33" spans="1:13" ht="13.5" customHeight="1">
      <c r="A33" s="529" t="s">
        <v>443</v>
      </c>
      <c r="B33" s="529" t="s">
        <v>443</v>
      </c>
      <c r="C33" s="528">
        <v>1.1887340545654297</v>
      </c>
      <c r="D33" s="528">
        <v>20.81879997253418</v>
      </c>
      <c r="E33" s="528">
        <v>1.0181679725646973</v>
      </c>
      <c r="F33" s="528">
        <v>43.537029266357422</v>
      </c>
      <c r="G33" s="528">
        <v>7.6112957697210541</v>
      </c>
      <c r="H33" s="528">
        <v>6.7424657534246579</v>
      </c>
      <c r="I33" s="528">
        <v>16.6650408131745</v>
      </c>
      <c r="J33" s="528">
        <v>-2.0007131154745883</v>
      </c>
      <c r="K33" s="528">
        <v>-3.5149461692125605</v>
      </c>
      <c r="L33" s="528">
        <v>-1.1010468209784139</v>
      </c>
      <c r="M33" s="528">
        <v>42.905255197024097</v>
      </c>
    </row>
    <row r="34" spans="1:13" ht="13.5" customHeight="1">
      <c r="A34" s="529" t="s">
        <v>1094</v>
      </c>
      <c r="B34" s="529" t="s">
        <v>925</v>
      </c>
      <c r="C34" s="528">
        <v>0.75273287296295166</v>
      </c>
      <c r="D34" s="528">
        <v>30.52203369140625</v>
      </c>
      <c r="E34" s="528" t="s">
        <v>145</v>
      </c>
      <c r="F34" s="528" t="s">
        <v>145</v>
      </c>
      <c r="G34" s="528">
        <v>8.3973875189937104</v>
      </c>
      <c r="H34" s="528">
        <v>3.2575342465753425</v>
      </c>
      <c r="I34" s="528">
        <v>41.301773007092983</v>
      </c>
      <c r="J34" s="528" t="s">
        <v>139</v>
      </c>
      <c r="K34" s="528">
        <v>4.5894209055402415</v>
      </c>
      <c r="L34" s="528">
        <v>2.656023098558574</v>
      </c>
      <c r="M34" s="528" t="s">
        <v>145</v>
      </c>
    </row>
    <row r="35" spans="1:13" ht="13.5" customHeight="1">
      <c r="A35" s="529" t="s">
        <v>449</v>
      </c>
      <c r="B35" s="529" t="s">
        <v>449</v>
      </c>
      <c r="C35" s="528">
        <v>1.1209030151367188</v>
      </c>
      <c r="D35" s="528">
        <v>49.484474182128906</v>
      </c>
      <c r="E35" s="528">
        <v>0.40246868133544922</v>
      </c>
      <c r="F35" s="528">
        <v>18.885761260986328</v>
      </c>
      <c r="G35" s="528">
        <v>8.8931312888549314</v>
      </c>
      <c r="H35" s="528">
        <v>8.580821917808219</v>
      </c>
      <c r="I35" s="528">
        <v>6.6926545652635578</v>
      </c>
      <c r="J35" s="528">
        <v>-3.7242801023452108</v>
      </c>
      <c r="K35" s="528">
        <v>-2.3478487425938748</v>
      </c>
      <c r="L35" s="528">
        <v>-4.229479467599206</v>
      </c>
      <c r="M35" s="528">
        <v>40.536599877463644</v>
      </c>
    </row>
    <row r="36" spans="1:13" ht="13.5" customHeight="1">
      <c r="A36" s="529" t="s">
        <v>432</v>
      </c>
      <c r="B36" s="529" t="s">
        <v>432</v>
      </c>
      <c r="C36" s="528">
        <v>0.78727817535400391</v>
      </c>
      <c r="D36" s="528">
        <v>59.562137603759766</v>
      </c>
      <c r="E36" s="528">
        <v>0.73378467559814453</v>
      </c>
      <c r="F36" s="528">
        <v>35.326202392578125</v>
      </c>
      <c r="G36" s="528">
        <v>6.167454975561939</v>
      </c>
      <c r="H36" s="528">
        <v>9.9315068493150687</v>
      </c>
      <c r="I36" s="528">
        <v>6.819659805177273</v>
      </c>
      <c r="J36" s="528">
        <v>-4.1379497198426733</v>
      </c>
      <c r="K36" s="528">
        <v>-3.448047842050538</v>
      </c>
      <c r="L36" s="528">
        <v>-2.1415477354793335</v>
      </c>
      <c r="M36" s="528">
        <v>46.963267597873724</v>
      </c>
    </row>
    <row r="37" spans="1:13" ht="13.5" customHeight="1">
      <c r="A37" s="529" t="s">
        <v>94</v>
      </c>
      <c r="B37" s="529" t="s">
        <v>94</v>
      </c>
      <c r="C37" s="528">
        <v>-0.19606208801269531</v>
      </c>
      <c r="D37" s="528">
        <v>4.6335463523864746</v>
      </c>
      <c r="E37" s="528">
        <v>1.1512460708618164</v>
      </c>
      <c r="F37" s="528">
        <v>51.920074462890625</v>
      </c>
      <c r="G37" s="528">
        <v>13.635647857461255</v>
      </c>
      <c r="H37" s="528">
        <v>7.9671232876712326</v>
      </c>
      <c r="I37" s="528">
        <v>13.864355970548139</v>
      </c>
      <c r="J37" s="528">
        <v>-1.6892411198274055</v>
      </c>
      <c r="K37" s="528">
        <v>-5.4457672660612548</v>
      </c>
      <c r="L37" s="528">
        <v>-3.9789852486487836</v>
      </c>
      <c r="M37" s="528">
        <v>38.645826352054833</v>
      </c>
    </row>
    <row r="38" spans="1:13" ht="13.5" customHeight="1">
      <c r="A38" s="529" t="s">
        <v>422</v>
      </c>
      <c r="B38" s="529" t="s">
        <v>422</v>
      </c>
      <c r="C38" s="528">
        <v>-0.31836938858032227</v>
      </c>
      <c r="D38" s="528">
        <v>-10.650733947753906</v>
      </c>
      <c r="E38" s="528">
        <v>0.4592132568359375</v>
      </c>
      <c r="F38" s="528">
        <v>21.678810119628906</v>
      </c>
      <c r="G38" s="528">
        <v>4.1318682888281772</v>
      </c>
      <c r="H38" s="528">
        <v>5.9205479452054792</v>
      </c>
      <c r="I38" s="528">
        <v>5.459508290463627</v>
      </c>
      <c r="J38" s="528">
        <v>-2.4671723838012549</v>
      </c>
      <c r="K38" s="528">
        <v>-4.6558396022523596E-2</v>
      </c>
      <c r="L38" s="528">
        <v>0.10830138445973174</v>
      </c>
      <c r="M38" s="528">
        <v>16.069981096703113</v>
      </c>
    </row>
    <row r="39" spans="1:13" ht="13.5" customHeight="1">
      <c r="A39" s="529" t="s">
        <v>926</v>
      </c>
      <c r="B39" s="529" t="s">
        <v>926</v>
      </c>
      <c r="C39" s="528">
        <v>0.40000057220458984</v>
      </c>
      <c r="D39" s="528">
        <v>13.350415229797363</v>
      </c>
      <c r="E39" s="528">
        <v>1.9996356964111328</v>
      </c>
      <c r="F39" s="528">
        <v>84.578628540039063</v>
      </c>
      <c r="G39" s="528">
        <v>2.1586930084637364</v>
      </c>
      <c r="H39" s="528">
        <v>11.175342465753424</v>
      </c>
      <c r="I39" s="528">
        <v>3.3556561443780866</v>
      </c>
      <c r="J39" s="528">
        <v>-2.1066243202208161</v>
      </c>
      <c r="K39" s="528">
        <v>0.51266465724451982</v>
      </c>
      <c r="L39" s="528">
        <v>0.15334093316251349</v>
      </c>
      <c r="M39" s="528">
        <v>7.9084552065260967</v>
      </c>
    </row>
    <row r="40" spans="1:13" ht="13.5" customHeight="1">
      <c r="A40" s="529" t="s">
        <v>97</v>
      </c>
      <c r="B40" s="529" t="s">
        <v>97</v>
      </c>
      <c r="C40" s="528">
        <v>0.22004318237304688</v>
      </c>
      <c r="D40" s="528">
        <v>11.06649112701416</v>
      </c>
      <c r="E40" s="528">
        <v>1.5694570541381836</v>
      </c>
      <c r="F40" s="528">
        <v>64.580886840820313</v>
      </c>
      <c r="G40" s="528">
        <v>10.907573633550381</v>
      </c>
      <c r="H40" s="528">
        <v>14.454794520547946</v>
      </c>
      <c r="I40" s="528">
        <v>7.3507605109130338</v>
      </c>
      <c r="J40" s="528">
        <v>-1.5087981130282111</v>
      </c>
      <c r="K40" s="528">
        <v>-4.1605516210048847</v>
      </c>
      <c r="L40" s="528">
        <v>-4.3180675682342988</v>
      </c>
      <c r="M40" s="528">
        <v>22.55734797635596</v>
      </c>
    </row>
    <row r="41" spans="1:13" ht="13.5" customHeight="1">
      <c r="A41" s="531" t="s">
        <v>99</v>
      </c>
      <c r="B41" s="531" t="s">
        <v>99</v>
      </c>
      <c r="C41" s="532">
        <v>0.67000007629394531</v>
      </c>
      <c r="D41" s="532">
        <v>16.657321929931641</v>
      </c>
      <c r="E41" s="532">
        <v>3.7865028381347656</v>
      </c>
      <c r="F41" s="532">
        <v>150.2562255859375</v>
      </c>
      <c r="G41" s="532">
        <v>32.905855696058772</v>
      </c>
      <c r="H41" s="532">
        <v>6.0712328767123287</v>
      </c>
      <c r="I41" s="532">
        <v>20.132890632297574</v>
      </c>
      <c r="J41" s="532">
        <v>-1.1515883781872676</v>
      </c>
      <c r="K41" s="532">
        <v>-5.0586646992170294</v>
      </c>
      <c r="L41" s="532">
        <v>-6.757342833496307</v>
      </c>
      <c r="M41" s="532">
        <v>26.485799371470268</v>
      </c>
    </row>
    <row r="42" spans="1:13" ht="3.75" customHeight="1">
      <c r="A42" s="529"/>
      <c r="B42" s="529"/>
      <c r="C42" s="528"/>
      <c r="D42" s="528"/>
      <c r="E42" s="528"/>
      <c r="F42" s="528"/>
      <c r="G42" s="528"/>
      <c r="H42" s="528"/>
      <c r="I42" s="533"/>
      <c r="J42" s="533"/>
      <c r="K42" s="528"/>
      <c r="L42" s="528"/>
      <c r="M42" s="528"/>
    </row>
    <row r="43" spans="1:13" ht="10.5" customHeight="1"/>
    <row r="49" ht="19.5" customHeight="1"/>
    <row r="50" ht="12" customHeight="1"/>
  </sheetData>
  <mergeCells count="2">
    <mergeCell ref="A1:M1"/>
    <mergeCell ref="A2:M2"/>
  </mergeCells>
  <conditionalFormatting sqref="C7:M7 A8:M41">
    <cfRule type="expression" dxfId="9" priority="1">
      <formula>MOD(ROW(),2)=0</formula>
    </cfRule>
  </conditionalFormatting>
  <pageMargins left="0.7" right="0.7" top="0.75" bottom="0.75" header="0.3" footer="0.3"/>
  <pageSetup scale="6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15D0-A91B-4868-9568-690D271B93BF}">
  <sheetPr>
    <pageSetUpPr fitToPage="1"/>
  </sheetPr>
  <dimension ref="A2:Q56"/>
  <sheetViews>
    <sheetView zoomScale="120" zoomScaleNormal="120" workbookViewId="0">
      <pane xSplit="2" ySplit="4" topLeftCell="C32" activePane="bottomRight" state="frozen"/>
      <selection pane="bottomRight" activeCell="B88" sqref="B88:K88"/>
      <selection pane="bottomLeft" activeCell="B88" sqref="B88:K88"/>
      <selection pane="topRight" activeCell="B88" sqref="B88:K88"/>
    </sheetView>
  </sheetViews>
  <sheetFormatPr defaultColWidth="8.7109375" defaultRowHeight="12.75" outlineLevelCol="1"/>
  <cols>
    <col min="1" max="1" width="18.140625" style="517" customWidth="1"/>
    <col min="2" max="2" width="25.42578125" style="517" hidden="1" customWidth="1" outlineLevel="1"/>
    <col min="3" max="3" width="13" style="517" customWidth="1" collapsed="1"/>
    <col min="4" max="4" width="14.28515625" style="517" customWidth="1"/>
    <col min="5" max="5" width="13" style="517" customWidth="1"/>
    <col min="6" max="6" width="14.42578125" style="517" customWidth="1"/>
    <col min="7" max="7" width="13" style="534" customWidth="1"/>
    <col min="8" max="8" width="13.7109375" style="534" customWidth="1"/>
    <col min="9" max="9" width="14.42578125" style="534" customWidth="1"/>
    <col min="10" max="10" width="16.5703125" style="534" customWidth="1"/>
    <col min="11" max="12" width="13" style="534" customWidth="1"/>
    <col min="13" max="13" width="17.5703125" style="517" customWidth="1"/>
    <col min="14" max="14" width="3.85546875" style="517" customWidth="1"/>
    <col min="15" max="15" width="8.7109375" style="517" customWidth="1"/>
    <col min="16" max="16" width="0" style="517" hidden="1" customWidth="1"/>
    <col min="17" max="16384" width="8.7109375" style="517"/>
  </cols>
  <sheetData>
    <row r="2" spans="1:16" s="537" customFormat="1" ht="17.25" customHeight="1">
      <c r="A2" s="535" t="s">
        <v>70</v>
      </c>
      <c r="B2" s="536"/>
      <c r="C2" s="536"/>
      <c r="D2" s="536"/>
      <c r="E2" s="536"/>
      <c r="F2" s="536"/>
      <c r="G2" s="536"/>
      <c r="H2" s="536"/>
      <c r="I2" s="536"/>
      <c r="J2" s="536"/>
      <c r="K2" s="536"/>
      <c r="L2" s="536"/>
      <c r="M2" s="536"/>
    </row>
    <row r="3" spans="1:16">
      <c r="A3" s="538" t="s">
        <v>1080</v>
      </c>
      <c r="B3" s="539"/>
      <c r="C3" s="539"/>
      <c r="D3" s="539"/>
      <c r="E3" s="539"/>
      <c r="F3" s="539"/>
      <c r="G3" s="539"/>
      <c r="H3" s="539"/>
      <c r="I3" s="539"/>
      <c r="J3" s="539"/>
      <c r="K3" s="539"/>
      <c r="L3" s="539"/>
      <c r="M3" s="539"/>
    </row>
    <row r="4" spans="1:16" ht="78" customHeight="1">
      <c r="A4" s="540"/>
      <c r="B4" s="540"/>
      <c r="C4" s="521" t="s">
        <v>1095</v>
      </c>
      <c r="D4" s="521" t="s">
        <v>1096</v>
      </c>
      <c r="E4" s="521" t="s">
        <v>1083</v>
      </c>
      <c r="F4" s="521" t="s">
        <v>1084</v>
      </c>
      <c r="G4" s="521" t="s">
        <v>1085</v>
      </c>
      <c r="H4" s="521" t="s">
        <v>1086</v>
      </c>
      <c r="I4" s="521" t="s">
        <v>1087</v>
      </c>
      <c r="J4" s="521" t="s">
        <v>1088</v>
      </c>
      <c r="K4" s="521" t="s">
        <v>1089</v>
      </c>
      <c r="L4" s="521" t="s">
        <v>1090</v>
      </c>
      <c r="M4" s="521" t="s">
        <v>1091</v>
      </c>
    </row>
    <row r="5" spans="1:16">
      <c r="A5" s="522" t="s">
        <v>196</v>
      </c>
      <c r="B5" s="523"/>
      <c r="C5" s="524">
        <v>1.4126219647556366</v>
      </c>
      <c r="D5" s="524">
        <v>73.070667105622107</v>
      </c>
      <c r="E5" s="524">
        <v>0.62555253233414732</v>
      </c>
      <c r="F5" s="524">
        <v>29.156280992319058</v>
      </c>
      <c r="G5" s="524">
        <v>12.563924359402469</v>
      </c>
      <c r="H5" s="524">
        <v>7.547207227563864</v>
      </c>
      <c r="I5" s="524">
        <v>9.9612495876432305</v>
      </c>
      <c r="J5" s="524">
        <v>-2.9653031178164904</v>
      </c>
      <c r="K5" s="524">
        <v>-3.1782181329636203</v>
      </c>
      <c r="L5" s="524">
        <v>-5.1548711233810147</v>
      </c>
      <c r="M5" s="524">
        <v>12.043890142508223</v>
      </c>
      <c r="N5" s="525"/>
      <c r="O5" s="525"/>
    </row>
    <row r="6" spans="1:16">
      <c r="A6" s="526" t="s">
        <v>968</v>
      </c>
      <c r="B6" s="523"/>
      <c r="C6" s="524">
        <v>1.4602066517867798</v>
      </c>
      <c r="D6" s="524">
        <v>76.070641108849728</v>
      </c>
      <c r="E6" s="524">
        <v>0.62959601052205072</v>
      </c>
      <c r="F6" s="524">
        <v>29.351755285982886</v>
      </c>
      <c r="G6" s="524">
        <v>12.420130955561445</v>
      </c>
      <c r="H6" s="524">
        <v>7.705054040012616</v>
      </c>
      <c r="I6" s="524">
        <v>9.9304309458850444</v>
      </c>
      <c r="J6" s="524">
        <v>-2.8263406861266755</v>
      </c>
      <c r="K6" s="524">
        <v>-3.438176411509589</v>
      </c>
      <c r="L6" s="524">
        <v>-5.7289872696160362</v>
      </c>
      <c r="M6" s="524">
        <v>8.2953817487534067</v>
      </c>
      <c r="N6" s="525"/>
      <c r="O6" s="525"/>
    </row>
    <row r="7" spans="1:16" ht="15" customHeight="1">
      <c r="A7" s="529" t="s">
        <v>969</v>
      </c>
      <c r="B7" s="529" t="s">
        <v>969</v>
      </c>
      <c r="C7" s="528">
        <v>3.0020413398742676</v>
      </c>
      <c r="D7" s="528">
        <v>142.16964721679688</v>
      </c>
      <c r="E7" s="528">
        <v>0.5846409797668457</v>
      </c>
      <c r="F7" s="528">
        <v>29.375547409057617</v>
      </c>
      <c r="G7" s="528" t="s">
        <v>139</v>
      </c>
      <c r="H7" s="528">
        <v>7.646575342465753</v>
      </c>
      <c r="I7" s="528">
        <v>6.8309007896930316</v>
      </c>
      <c r="J7" s="528">
        <v>-3.4059470890187371</v>
      </c>
      <c r="K7" s="528">
        <v>-8.4103234735203714</v>
      </c>
      <c r="L7" s="528">
        <v>-8.0123604007269424</v>
      </c>
      <c r="M7" s="528">
        <v>1.0077144144768981</v>
      </c>
    </row>
    <row r="8" spans="1:16" ht="13.5" customHeight="1">
      <c r="A8" s="529" t="s">
        <v>970</v>
      </c>
      <c r="B8" s="529" t="s">
        <v>970</v>
      </c>
      <c r="C8" s="528">
        <v>5.6717097759246826E-2</v>
      </c>
      <c r="D8" s="528">
        <v>2.2530279159545898</v>
      </c>
      <c r="E8" s="528">
        <v>0.12433552742004395</v>
      </c>
      <c r="F8" s="528">
        <v>5.924501895904541</v>
      </c>
      <c r="G8" s="528" t="s">
        <v>139</v>
      </c>
      <c r="H8" s="528">
        <v>5.8767123287671232</v>
      </c>
      <c r="I8" s="528">
        <v>10.766799204840177</v>
      </c>
      <c r="J8" s="528">
        <v>-2.0785249098955525</v>
      </c>
      <c r="K8" s="528">
        <v>-1.6067412249996345</v>
      </c>
      <c r="L8" s="528">
        <v>-2.3944466381373481</v>
      </c>
      <c r="M8" s="528" t="s">
        <v>145</v>
      </c>
    </row>
    <row r="9" spans="1:16" ht="13.5" customHeight="1">
      <c r="A9" s="529" t="s">
        <v>971</v>
      </c>
      <c r="B9" s="529" t="s">
        <v>971</v>
      </c>
      <c r="C9" s="528">
        <v>0.74003791809082031</v>
      </c>
      <c r="D9" s="528">
        <v>46.197547912597656</v>
      </c>
      <c r="E9" s="528">
        <v>0.98862791061401367</v>
      </c>
      <c r="F9" s="528">
        <v>46.483123779296875</v>
      </c>
      <c r="G9" s="528">
        <v>15.746542120261497</v>
      </c>
      <c r="H9" s="528">
        <v>8.6958904109589046</v>
      </c>
      <c r="I9" s="528">
        <v>8.7703357572017495</v>
      </c>
      <c r="J9" s="528" t="s">
        <v>139</v>
      </c>
      <c r="K9" s="528">
        <v>-4.9636348730710642</v>
      </c>
      <c r="L9" s="528" t="s">
        <v>145</v>
      </c>
      <c r="M9" s="528">
        <v>28.578864857766384</v>
      </c>
    </row>
    <row r="10" spans="1:16" ht="13.5" customHeight="1">
      <c r="A10" s="529" t="s">
        <v>972</v>
      </c>
      <c r="B10" s="529" t="s">
        <v>972</v>
      </c>
      <c r="C10" s="528">
        <v>2.6974945068359375</v>
      </c>
      <c r="D10" s="528">
        <v>96.59375</v>
      </c>
      <c r="E10" s="528">
        <v>0.71893167495727539</v>
      </c>
      <c r="F10" s="528">
        <v>31.980791091918945</v>
      </c>
      <c r="G10" s="528" t="s">
        <v>139</v>
      </c>
      <c r="H10" s="528" t="s">
        <v>145</v>
      </c>
      <c r="I10" s="528" t="s">
        <v>145</v>
      </c>
      <c r="J10" s="528">
        <v>-3.1694572455966288</v>
      </c>
      <c r="K10" s="528">
        <v>-0.34686501374031009</v>
      </c>
      <c r="L10" s="528">
        <v>1.8297370802767759E-2</v>
      </c>
      <c r="M10" s="528">
        <v>64.691511596916698</v>
      </c>
    </row>
    <row r="11" spans="1:16" ht="15.75" customHeight="1">
      <c r="A11" s="529" t="s">
        <v>1097</v>
      </c>
      <c r="B11" s="529" t="s">
        <v>119</v>
      </c>
      <c r="C11" s="528">
        <v>0.23000049591064453</v>
      </c>
      <c r="D11" s="528">
        <v>30.382612228393555</v>
      </c>
      <c r="E11" s="528">
        <v>0.87626838684082031</v>
      </c>
      <c r="F11" s="528">
        <v>41.121253967285156</v>
      </c>
      <c r="G11" s="528">
        <v>20.768478766903652</v>
      </c>
      <c r="H11" s="528">
        <v>5.2273972602739729</v>
      </c>
      <c r="I11" s="528">
        <v>16.911396113386786</v>
      </c>
      <c r="J11" s="528">
        <v>2.8893139511131665</v>
      </c>
      <c r="K11" s="528">
        <v>-6.3628578754967844</v>
      </c>
      <c r="L11" s="528">
        <v>-6.3969429100246158</v>
      </c>
      <c r="M11" s="528">
        <v>9.7037337209335313</v>
      </c>
    </row>
    <row r="12" spans="1:16" ht="13.5" customHeight="1">
      <c r="A12" s="529" t="s">
        <v>427</v>
      </c>
      <c r="B12" s="529" t="s">
        <v>427</v>
      </c>
      <c r="C12" s="528">
        <v>2.8038978576660156E-2</v>
      </c>
      <c r="D12" s="528">
        <v>5.4460439682006836</v>
      </c>
      <c r="E12" s="528">
        <v>0.911163330078125</v>
      </c>
      <c r="F12" s="528">
        <v>41.548175811767578</v>
      </c>
      <c r="G12" s="528" t="s">
        <v>139</v>
      </c>
      <c r="H12" s="528">
        <v>7.4465753424657537</v>
      </c>
      <c r="I12" s="528">
        <v>2.8314033877159122</v>
      </c>
      <c r="J12" s="528">
        <v>-1.5435461488745044</v>
      </c>
      <c r="K12" s="528">
        <v>-0.88546249718413661</v>
      </c>
      <c r="L12" s="528">
        <v>-2.670557416726417</v>
      </c>
      <c r="M12" s="528">
        <v>41.93739756746168</v>
      </c>
    </row>
    <row r="13" spans="1:16" ht="13.5" customHeight="1">
      <c r="A13" s="529" t="s">
        <v>973</v>
      </c>
      <c r="B13" s="529" t="s">
        <v>973</v>
      </c>
      <c r="C13" s="528">
        <v>0.9759666919708252</v>
      </c>
      <c r="D13" s="528">
        <v>44.081256866455078</v>
      </c>
      <c r="E13" s="528">
        <v>1.212526798248291</v>
      </c>
      <c r="F13" s="528">
        <v>55.527614593505859</v>
      </c>
      <c r="G13" s="528">
        <v>3.8371699379948163</v>
      </c>
      <c r="H13" s="528">
        <v>9.9972602739726035</v>
      </c>
      <c r="I13" s="528">
        <v>3.6634202419819681</v>
      </c>
      <c r="J13" s="528">
        <v>-2.732623442820076</v>
      </c>
      <c r="K13" s="528">
        <v>-1.6088269280119389</v>
      </c>
      <c r="L13" s="528">
        <v>-0.64046848336650419</v>
      </c>
      <c r="M13" s="528">
        <v>32.718755063644466</v>
      </c>
    </row>
    <row r="14" spans="1:16" ht="13.5" customHeight="1">
      <c r="A14" s="529" t="s">
        <v>111</v>
      </c>
      <c r="B14" s="529" t="s">
        <v>111</v>
      </c>
      <c r="C14" s="528">
        <v>1.8011379241943359</v>
      </c>
      <c r="D14" s="528">
        <v>94.95135498046875</v>
      </c>
      <c r="E14" s="528">
        <v>0.66578125953674316</v>
      </c>
      <c r="F14" s="528">
        <v>31.115497589111328</v>
      </c>
      <c r="G14" s="528" t="s">
        <v>139</v>
      </c>
      <c r="H14" s="528">
        <v>7.2712328767123289</v>
      </c>
      <c r="I14" s="528">
        <v>11.337049095977932</v>
      </c>
      <c r="J14" s="528">
        <v>-3.6598647358453555</v>
      </c>
      <c r="K14" s="528">
        <v>-2.6931474732012366</v>
      </c>
      <c r="L14" s="528">
        <v>-6.3088236768312775</v>
      </c>
      <c r="M14" s="528">
        <v>3.2528635989033661</v>
      </c>
      <c r="P14" s="541" t="s">
        <v>1098</v>
      </c>
    </row>
    <row r="15" spans="1:16" ht="13.5" customHeight="1">
      <c r="A15" s="529" t="s">
        <v>480</v>
      </c>
      <c r="B15" s="529" t="s">
        <v>480</v>
      </c>
      <c r="C15" s="528">
        <v>2.0087971687316895</v>
      </c>
      <c r="D15" s="528">
        <v>91.369682312011719</v>
      </c>
      <c r="E15" s="528">
        <v>1.7131175994873047</v>
      </c>
      <c r="F15" s="528">
        <v>79.924812316894531</v>
      </c>
      <c r="G15" s="528">
        <v>5.4902528766883609</v>
      </c>
      <c r="H15" s="528">
        <v>10.605479452054794</v>
      </c>
      <c r="I15" s="528">
        <v>5.8435451682543675</v>
      </c>
      <c r="J15" s="528">
        <v>0.13468610668104858</v>
      </c>
      <c r="K15" s="528">
        <v>-2.381146067921609</v>
      </c>
      <c r="L15" s="528">
        <v>-2.6010878482622934</v>
      </c>
      <c r="M15" s="528">
        <v>32.229841849301572</v>
      </c>
    </row>
    <row r="16" spans="1:16" ht="13.5" customHeight="1">
      <c r="A16" s="529" t="s">
        <v>430</v>
      </c>
      <c r="B16" s="529" t="s">
        <v>430</v>
      </c>
      <c r="C16" s="528">
        <v>0.44712924957275391</v>
      </c>
      <c r="D16" s="528">
        <v>1.1028715372085571</v>
      </c>
      <c r="E16" s="528">
        <v>1.077843189239502</v>
      </c>
      <c r="F16" s="528">
        <v>48.173484802246094</v>
      </c>
      <c r="G16" s="528">
        <v>9.1418587089736185</v>
      </c>
      <c r="H16" s="528">
        <v>5.6602739726027398</v>
      </c>
      <c r="I16" s="528">
        <v>11.511485894813282</v>
      </c>
      <c r="J16" s="528">
        <v>-2.6920026864988196</v>
      </c>
      <c r="K16" s="528">
        <v>-2.4944403458607449</v>
      </c>
      <c r="L16" s="528">
        <v>-1.4017063395371014</v>
      </c>
      <c r="M16" s="528">
        <v>36.348612164643527</v>
      </c>
    </row>
    <row r="17" spans="1:16" ht="13.5" customHeight="1">
      <c r="A17" s="529" t="s">
        <v>975</v>
      </c>
      <c r="B17" s="529" t="s">
        <v>975</v>
      </c>
      <c r="C17" s="528">
        <v>5.5569946765899658E-2</v>
      </c>
      <c r="D17" s="528">
        <v>2.4827466011047363</v>
      </c>
      <c r="E17" s="528">
        <v>0.57549595832824707</v>
      </c>
      <c r="F17" s="528">
        <v>27.302764892578125</v>
      </c>
      <c r="G17" s="528">
        <v>5.2015900705957208</v>
      </c>
      <c r="H17" s="528">
        <v>9.1972602739726028</v>
      </c>
      <c r="I17" s="528">
        <v>6.339054706005248</v>
      </c>
      <c r="J17" s="528">
        <v>-2.7012485034093268</v>
      </c>
      <c r="K17" s="528">
        <v>-2.9205924936572134</v>
      </c>
      <c r="L17" s="528">
        <v>-2.6428564162363433</v>
      </c>
      <c r="M17" s="528">
        <v>54.986009503283519</v>
      </c>
    </row>
    <row r="18" spans="1:16" ht="13.5" customHeight="1">
      <c r="A18" s="529" t="s">
        <v>977</v>
      </c>
      <c r="B18" s="529" t="s">
        <v>977</v>
      </c>
      <c r="C18" s="528">
        <v>0.68351006507873535</v>
      </c>
      <c r="D18" s="528">
        <v>35.393653869628906</v>
      </c>
      <c r="E18" s="528">
        <v>0.88410472869873047</v>
      </c>
      <c r="F18" s="528">
        <v>41.649421691894531</v>
      </c>
      <c r="G18" s="528" t="s">
        <v>145</v>
      </c>
      <c r="H18" s="528">
        <v>12.443835616438356</v>
      </c>
      <c r="I18" s="528">
        <v>4.3958728760269565</v>
      </c>
      <c r="J18" s="528" t="s">
        <v>145</v>
      </c>
      <c r="K18" s="528">
        <v>-6.1467509590215821</v>
      </c>
      <c r="L18" s="528" t="s">
        <v>139</v>
      </c>
      <c r="M18" s="528">
        <v>70.315252453148062</v>
      </c>
      <c r="O18" s="541" t="s">
        <v>1099</v>
      </c>
    </row>
    <row r="19" spans="1:16" ht="13.5" customHeight="1">
      <c r="A19" s="529" t="s">
        <v>978</v>
      </c>
      <c r="B19" s="529" t="s">
        <v>978</v>
      </c>
      <c r="C19" s="528">
        <v>1.119412899017334</v>
      </c>
      <c r="D19" s="528">
        <v>56.676658630371094</v>
      </c>
      <c r="E19" s="528">
        <v>0.18683755397796631</v>
      </c>
      <c r="F19" s="528">
        <v>9.0281352996826172</v>
      </c>
      <c r="G19" s="528">
        <v>35.160248299505852</v>
      </c>
      <c r="H19" s="528">
        <v>3.2</v>
      </c>
      <c r="I19" s="528">
        <v>29.042717339787643</v>
      </c>
      <c r="J19" s="528">
        <v>-3.5616294611815156</v>
      </c>
      <c r="K19" s="528">
        <v>-10.138520356873892</v>
      </c>
      <c r="L19" s="528">
        <v>-7.1494290042418385</v>
      </c>
      <c r="M19" s="528" t="s">
        <v>145</v>
      </c>
    </row>
    <row r="20" spans="1:16" ht="13.5" customHeight="1">
      <c r="A20" s="529" t="s">
        <v>450</v>
      </c>
      <c r="B20" s="529" t="s">
        <v>450</v>
      </c>
      <c r="C20" s="528">
        <v>-0.12800884246826172</v>
      </c>
      <c r="D20" s="528">
        <v>21.665050506591797</v>
      </c>
      <c r="E20" s="528">
        <v>0.98069572448730469</v>
      </c>
      <c r="F20" s="528">
        <v>42.668964385986328</v>
      </c>
      <c r="G20" s="528">
        <v>13.882980629301684</v>
      </c>
      <c r="H20" s="528">
        <v>6.4547945205479449</v>
      </c>
      <c r="I20" s="528">
        <v>11.339990060607352</v>
      </c>
      <c r="J20" s="528">
        <v>-2.5650122486784594</v>
      </c>
      <c r="K20" s="528">
        <v>-2.2625223658347169</v>
      </c>
      <c r="L20" s="528">
        <v>-2.469585969342893</v>
      </c>
      <c r="M20" s="528">
        <v>26.206846701898641</v>
      </c>
    </row>
    <row r="21" spans="1:16" ht="13.5" customHeight="1">
      <c r="A21" s="529" t="s">
        <v>112</v>
      </c>
      <c r="B21" s="529" t="s">
        <v>112</v>
      </c>
      <c r="C21" s="528">
        <v>0.67954897880554199</v>
      </c>
      <c r="D21" s="528">
        <v>33.349441528320313</v>
      </c>
      <c r="E21" s="528">
        <v>0.19049215316772461</v>
      </c>
      <c r="F21" s="528">
        <v>8.8581790924072266</v>
      </c>
      <c r="G21" s="528">
        <v>13.084827712344893</v>
      </c>
      <c r="H21" s="528">
        <v>9.7534246575342465</v>
      </c>
      <c r="I21" s="528">
        <v>8.5353574952453624</v>
      </c>
      <c r="J21" s="528">
        <v>-3.1659920212250205</v>
      </c>
      <c r="K21" s="528">
        <v>-7.030308029484603</v>
      </c>
      <c r="L21" s="528">
        <v>-8.0326145195352385</v>
      </c>
      <c r="M21" s="528">
        <v>4.4216996727960192</v>
      </c>
    </row>
    <row r="22" spans="1:16" ht="13.5" customHeight="1">
      <c r="A22" s="529" t="s">
        <v>281</v>
      </c>
      <c r="B22" s="529" t="s">
        <v>281</v>
      </c>
      <c r="C22" s="528">
        <v>0.13300228118896484</v>
      </c>
      <c r="D22" s="528">
        <v>6.6797523498535156</v>
      </c>
      <c r="E22" s="528">
        <v>0.32062482833862305</v>
      </c>
      <c r="F22" s="528">
        <v>14.874984741210938</v>
      </c>
      <c r="G22" s="528">
        <v>4.3522984424045568</v>
      </c>
      <c r="H22" s="528">
        <v>8.7753424657534254</v>
      </c>
      <c r="I22" s="528">
        <v>4.4558318239451413</v>
      </c>
      <c r="J22" s="528">
        <v>-1.8059850440433549</v>
      </c>
      <c r="K22" s="528">
        <v>-2.189313695074798</v>
      </c>
      <c r="L22" s="528">
        <v>-2.3493011367801953</v>
      </c>
      <c r="M22" s="528">
        <v>34.612993525084086</v>
      </c>
    </row>
    <row r="23" spans="1:16" ht="13.5" customHeight="1">
      <c r="A23" s="529" t="s">
        <v>979</v>
      </c>
      <c r="B23" s="529" t="s">
        <v>979</v>
      </c>
      <c r="C23" s="528">
        <v>1.1999998092651367</v>
      </c>
      <c r="D23" s="528">
        <v>86.540908813476563</v>
      </c>
      <c r="E23" s="528">
        <v>0.46932220458984375</v>
      </c>
      <c r="F23" s="528">
        <v>23.209394454956055</v>
      </c>
      <c r="G23" s="528" t="s">
        <v>139</v>
      </c>
      <c r="H23" s="528" t="s">
        <v>145</v>
      </c>
      <c r="I23" s="528" t="s">
        <v>145</v>
      </c>
      <c r="J23" s="528">
        <v>-12.903731984958178</v>
      </c>
      <c r="K23" s="528">
        <v>-1.6830186933270892</v>
      </c>
      <c r="L23" s="528">
        <v>-6.5725775460744158</v>
      </c>
      <c r="M23" s="528" t="s">
        <v>145</v>
      </c>
    </row>
    <row r="24" spans="1:16" ht="13.5" customHeight="1">
      <c r="A24" s="529" t="s">
        <v>980</v>
      </c>
      <c r="B24" s="529" t="s">
        <v>980</v>
      </c>
      <c r="C24" s="528">
        <v>1.2170934677124023</v>
      </c>
      <c r="D24" s="528">
        <v>33.046928405761719</v>
      </c>
      <c r="E24" s="528">
        <v>0.30499887466430664</v>
      </c>
      <c r="F24" s="528">
        <v>14.16258716583252</v>
      </c>
      <c r="G24" s="528" t="s">
        <v>139</v>
      </c>
      <c r="H24" s="528">
        <v>6.3095890410958901</v>
      </c>
      <c r="I24" s="528">
        <v>4.1100813063876966</v>
      </c>
      <c r="J24" s="528">
        <v>-2.095966465911105</v>
      </c>
      <c r="K24" s="528">
        <v>-0.14494617862917239</v>
      </c>
      <c r="L24" s="528">
        <v>-1.2561228272650073</v>
      </c>
      <c r="M24" s="528">
        <v>24.389775434950348</v>
      </c>
    </row>
    <row r="25" spans="1:16" ht="13.5" customHeight="1">
      <c r="A25" s="529" t="s">
        <v>981</v>
      </c>
      <c r="B25" s="529" t="s">
        <v>981</v>
      </c>
      <c r="C25" s="528">
        <v>8.4597625732421875</v>
      </c>
      <c r="D25" s="528">
        <v>629.01885986328125</v>
      </c>
      <c r="E25" s="528">
        <v>1.2918658256530762</v>
      </c>
      <c r="F25" s="528">
        <v>60.697086334228516</v>
      </c>
      <c r="G25" s="528">
        <v>10.5</v>
      </c>
      <c r="H25" s="528">
        <v>1.6849315068493151</v>
      </c>
      <c r="I25" s="528">
        <v>1.780234027614082</v>
      </c>
      <c r="J25" s="528">
        <v>6.6365697648120792</v>
      </c>
      <c r="K25" s="528">
        <v>13.081523376808352</v>
      </c>
      <c r="L25" s="528">
        <v>1.5518518475893355</v>
      </c>
      <c r="M25" s="528" t="s">
        <v>145</v>
      </c>
      <c r="P25" s="542" t="s">
        <v>1100</v>
      </c>
    </row>
    <row r="26" spans="1:16" ht="13.5" customHeight="1">
      <c r="A26" s="529" t="s">
        <v>982</v>
      </c>
      <c r="B26" s="529" t="s">
        <v>982</v>
      </c>
      <c r="C26" s="528" t="s">
        <v>139</v>
      </c>
      <c r="D26" s="528" t="s">
        <v>139</v>
      </c>
      <c r="E26" s="528" t="s">
        <v>139</v>
      </c>
      <c r="F26" s="528" t="s">
        <v>139</v>
      </c>
      <c r="G26" s="528" t="s">
        <v>139</v>
      </c>
      <c r="H26" s="528" t="s">
        <v>145</v>
      </c>
      <c r="I26" s="528" t="s">
        <v>145</v>
      </c>
      <c r="J26" s="528" t="s">
        <v>145</v>
      </c>
      <c r="K26" s="528">
        <v>-8.7722598278923787</v>
      </c>
      <c r="L26" s="528" t="s">
        <v>145</v>
      </c>
      <c r="M26" s="528" t="s">
        <v>145</v>
      </c>
      <c r="P26" s="542"/>
    </row>
    <row r="27" spans="1:16" ht="13.5" customHeight="1">
      <c r="A27" s="529" t="s">
        <v>984</v>
      </c>
      <c r="B27" s="529" t="s">
        <v>984</v>
      </c>
      <c r="C27" s="528">
        <v>1.3830714225769043</v>
      </c>
      <c r="D27" s="528">
        <v>66.349899291992188</v>
      </c>
      <c r="E27" s="528">
        <v>0.35905623435974121</v>
      </c>
      <c r="F27" s="528">
        <v>16.687923431396484</v>
      </c>
      <c r="G27" s="528" t="s">
        <v>139</v>
      </c>
      <c r="H27" s="528">
        <v>8.6109589041095891</v>
      </c>
      <c r="I27" s="528">
        <v>7.7819434680671957</v>
      </c>
      <c r="J27" s="528">
        <v>-2.3472340596717047</v>
      </c>
      <c r="K27" s="528">
        <v>-2.6780747114387546</v>
      </c>
      <c r="L27" s="528">
        <v>-4.5473632124303638</v>
      </c>
      <c r="M27" s="528">
        <v>21.245746813288072</v>
      </c>
      <c r="O27" s="543"/>
    </row>
    <row r="28" spans="1:16" ht="13.5" customHeight="1">
      <c r="A28" s="529" t="s">
        <v>120</v>
      </c>
      <c r="B28" s="529" t="s">
        <v>120</v>
      </c>
      <c r="C28" s="528">
        <v>0.81363916397094727</v>
      </c>
      <c r="D28" s="528">
        <v>44.747058868408203</v>
      </c>
      <c r="E28" s="528">
        <v>0.59448957443237305</v>
      </c>
      <c r="F28" s="528">
        <v>28.109033584594727</v>
      </c>
      <c r="G28" s="528">
        <v>12.468597075811996</v>
      </c>
      <c r="H28" s="528">
        <v>8.4821917808219176</v>
      </c>
      <c r="I28" s="528">
        <v>6.553919038049413</v>
      </c>
      <c r="J28" s="528">
        <v>2.7801457996785994</v>
      </c>
      <c r="K28" s="528">
        <v>-3.0396849213915167</v>
      </c>
      <c r="L28" s="528">
        <v>-2.9087450291406172</v>
      </c>
      <c r="M28" s="528">
        <v>23.605129320897433</v>
      </c>
    </row>
    <row r="29" spans="1:16" ht="13.5" customHeight="1">
      <c r="A29" s="529" t="s">
        <v>985</v>
      </c>
      <c r="B29" s="529" t="s">
        <v>985</v>
      </c>
      <c r="C29" s="528">
        <v>1.2643589973449707</v>
      </c>
      <c r="D29" s="528">
        <v>54.572853088378906</v>
      </c>
      <c r="E29" s="528">
        <v>0.41403675079345703</v>
      </c>
      <c r="F29" s="528">
        <v>19.321285247802734</v>
      </c>
      <c r="G29" s="528">
        <v>13.7</v>
      </c>
      <c r="H29" s="528">
        <v>6.4356164383561643</v>
      </c>
      <c r="I29" s="528">
        <v>10.616151907997182</v>
      </c>
      <c r="J29" s="528">
        <v>-2.237602128044804</v>
      </c>
      <c r="K29" s="528">
        <v>-4.4085356474267758</v>
      </c>
      <c r="L29" s="528">
        <v>-3.7386058662725028</v>
      </c>
      <c r="M29" s="528">
        <v>21.79848793793473</v>
      </c>
    </row>
    <row r="30" spans="1:16" ht="13.5" customHeight="1">
      <c r="A30" s="529" t="s">
        <v>986</v>
      </c>
      <c r="B30" s="529" t="s">
        <v>986</v>
      </c>
      <c r="C30" s="528">
        <v>0.23086583614349365</v>
      </c>
      <c r="D30" s="528">
        <v>16.436773300170898</v>
      </c>
      <c r="E30" s="528">
        <v>0.61864376068115234</v>
      </c>
      <c r="F30" s="528">
        <v>33.060230255126953</v>
      </c>
      <c r="G30" s="528">
        <v>8.6</v>
      </c>
      <c r="H30" s="528">
        <v>7.419178082191781</v>
      </c>
      <c r="I30" s="528">
        <v>5.7665372048149939</v>
      </c>
      <c r="J30" s="528">
        <v>5.455777806640822</v>
      </c>
      <c r="K30" s="528">
        <v>-6.2279967321871545</v>
      </c>
      <c r="L30" s="528">
        <v>0.46917773574095673</v>
      </c>
      <c r="M30" s="528" t="s">
        <v>145</v>
      </c>
    </row>
    <row r="31" spans="1:16" ht="13.5" customHeight="1">
      <c r="A31" s="529" t="s">
        <v>987</v>
      </c>
      <c r="B31" s="529" t="s">
        <v>987</v>
      </c>
      <c r="C31" s="528">
        <v>0.16206610202789307</v>
      </c>
      <c r="D31" s="528">
        <v>6.3323006629943848</v>
      </c>
      <c r="E31" s="528">
        <v>0.11218726634979248</v>
      </c>
      <c r="F31" s="528">
        <v>5.2969069480895996</v>
      </c>
      <c r="G31" s="528">
        <v>26.825023945937374</v>
      </c>
      <c r="H31" s="528">
        <v>2.7424657534246575</v>
      </c>
      <c r="I31" s="528">
        <v>26.83061167804923</v>
      </c>
      <c r="J31" s="528">
        <v>-5.8345904106155277</v>
      </c>
      <c r="K31" s="528">
        <v>-5.8299833522403706</v>
      </c>
      <c r="L31" s="528">
        <v>-6.6044318524215724</v>
      </c>
      <c r="M31" s="528">
        <v>29.490136617406534</v>
      </c>
    </row>
    <row r="32" spans="1:16" ht="13.5" customHeight="1">
      <c r="A32" s="529" t="s">
        <v>988</v>
      </c>
      <c r="B32" s="529" t="s">
        <v>988</v>
      </c>
      <c r="C32" s="528" t="s">
        <v>145</v>
      </c>
      <c r="D32" s="528" t="s">
        <v>145</v>
      </c>
      <c r="E32" s="528">
        <v>0.70539522171020508</v>
      </c>
      <c r="F32" s="528">
        <v>33.43878173828125</v>
      </c>
      <c r="G32" s="528">
        <v>3.849960825460637</v>
      </c>
      <c r="H32" s="528">
        <v>14.227397260273973</v>
      </c>
      <c r="I32" s="528">
        <v>2.3191376361205709</v>
      </c>
      <c r="J32" s="528">
        <v>-1.735942904227666</v>
      </c>
      <c r="K32" s="528">
        <v>-1.007592344053309</v>
      </c>
      <c r="L32" s="528">
        <v>-1.0454488585894999</v>
      </c>
      <c r="M32" s="528">
        <v>49.39</v>
      </c>
    </row>
    <row r="33" spans="1:17" ht="13.5" customHeight="1">
      <c r="A33" s="529" t="s">
        <v>989</v>
      </c>
      <c r="B33" s="529" t="s">
        <v>989</v>
      </c>
      <c r="C33" s="528">
        <v>0.15934354066848755</v>
      </c>
      <c r="D33" s="528">
        <v>7.2622056007385254</v>
      </c>
      <c r="E33" s="528">
        <v>0.28892207145690918</v>
      </c>
      <c r="F33" s="528">
        <v>13.114231109619141</v>
      </c>
      <c r="G33" s="528">
        <v>11.932265027094306</v>
      </c>
      <c r="H33" s="528">
        <v>6.2219178082191782</v>
      </c>
      <c r="I33" s="528">
        <v>9.1091859973683409</v>
      </c>
      <c r="J33" s="528">
        <v>-5.1327081376452002</v>
      </c>
      <c r="K33" s="528">
        <v>-0.42104716460601099</v>
      </c>
      <c r="L33" s="528">
        <v>-3.1081942073107212</v>
      </c>
      <c r="M33" s="528">
        <v>24.427514009964682</v>
      </c>
    </row>
    <row r="34" spans="1:17" ht="13.5" customHeight="1">
      <c r="A34" s="529" t="s">
        <v>426</v>
      </c>
      <c r="B34" s="529" t="s">
        <v>426</v>
      </c>
      <c r="C34" s="528">
        <v>-6.6822052001953125E-2</v>
      </c>
      <c r="D34" s="528">
        <v>-5.5260410308837891</v>
      </c>
      <c r="E34" s="528">
        <v>0.76495647430419922</v>
      </c>
      <c r="F34" s="528">
        <v>33.795028686523438</v>
      </c>
      <c r="G34" s="528">
        <v>7.253293621636784</v>
      </c>
      <c r="H34" s="528">
        <v>4.484931506849315</v>
      </c>
      <c r="I34" s="528">
        <v>11.302141867526249</v>
      </c>
      <c r="J34" s="528">
        <v>-3.6182529417383527</v>
      </c>
      <c r="K34" s="528">
        <v>-2.4033110534441424</v>
      </c>
      <c r="L34" s="528">
        <v>-3.9781494168729226</v>
      </c>
      <c r="M34" s="528">
        <v>24.813985951209517</v>
      </c>
    </row>
    <row r="35" spans="1:17" ht="13.5" customHeight="1">
      <c r="A35" s="529" t="s">
        <v>990</v>
      </c>
      <c r="B35" s="529" t="s">
        <v>990</v>
      </c>
      <c r="C35" s="528">
        <v>0.28640633821487427</v>
      </c>
      <c r="D35" s="528">
        <v>24.253982543945313</v>
      </c>
      <c r="E35" s="528">
        <v>0.46750497817993164</v>
      </c>
      <c r="F35" s="528">
        <v>23.809577941894531</v>
      </c>
      <c r="G35" s="528">
        <v>8.6</v>
      </c>
      <c r="H35" s="528">
        <v>9.2438356164383571</v>
      </c>
      <c r="I35" s="528">
        <v>4.9224383287376465</v>
      </c>
      <c r="J35" s="528">
        <v>0.19034731688250442</v>
      </c>
      <c r="K35" s="528">
        <v>9.0476314891390679</v>
      </c>
      <c r="L35" s="528">
        <v>11.877219864922026</v>
      </c>
      <c r="M35" s="528">
        <v>8.6</v>
      </c>
    </row>
    <row r="36" spans="1:17" ht="13.5" customHeight="1">
      <c r="A36" s="529" t="s">
        <v>445</v>
      </c>
      <c r="B36" s="529" t="s">
        <v>445</v>
      </c>
      <c r="C36" s="528">
        <v>2.2654848098754883</v>
      </c>
      <c r="D36" s="528">
        <v>74.127334594726563</v>
      </c>
      <c r="E36" s="528" t="s">
        <v>145</v>
      </c>
      <c r="F36" s="528" t="s">
        <v>145</v>
      </c>
      <c r="G36" s="528">
        <v>12.186410670059326</v>
      </c>
      <c r="H36" s="528">
        <v>7.3041095890410963</v>
      </c>
      <c r="I36" s="528">
        <v>6.6093925075389173</v>
      </c>
      <c r="J36" s="528">
        <v>-4.3255470999015992</v>
      </c>
      <c r="K36" s="528">
        <v>-2.6002324577006717</v>
      </c>
      <c r="L36" s="528">
        <v>-4.8312701936150209</v>
      </c>
      <c r="M36" s="528">
        <v>36.707791080212466</v>
      </c>
    </row>
    <row r="37" spans="1:17" ht="13.5" customHeight="1">
      <c r="A37" s="529" t="s">
        <v>116</v>
      </c>
      <c r="B37" s="529" t="s">
        <v>116</v>
      </c>
      <c r="C37" s="528">
        <v>2.1867990493774414</v>
      </c>
      <c r="D37" s="528">
        <v>72.403144836425781</v>
      </c>
      <c r="E37" s="528">
        <v>1.0385046005249023</v>
      </c>
      <c r="F37" s="528">
        <v>46.068954467773438</v>
      </c>
      <c r="G37" s="528">
        <v>7.099769311952052</v>
      </c>
      <c r="H37" s="528">
        <v>6.8328767123287673</v>
      </c>
      <c r="I37" s="528">
        <v>3.6368956100455265</v>
      </c>
      <c r="J37" s="528">
        <v>-0.36064928279246988</v>
      </c>
      <c r="K37" s="528">
        <v>-0.69028561846331193</v>
      </c>
      <c r="L37" s="528">
        <v>-1.9584440818459221</v>
      </c>
      <c r="M37" s="528" t="s">
        <v>145</v>
      </c>
    </row>
    <row r="38" spans="1:17" ht="13.5" customHeight="1">
      <c r="A38" s="529" t="s">
        <v>123</v>
      </c>
      <c r="B38" s="529" t="s">
        <v>123</v>
      </c>
      <c r="C38" s="528">
        <v>2.8085634708404541</v>
      </c>
      <c r="D38" s="528">
        <v>161.21534729003906</v>
      </c>
      <c r="E38" s="528">
        <v>0.75875139236450195</v>
      </c>
      <c r="F38" s="528">
        <v>36.15447998046875</v>
      </c>
      <c r="G38" s="528">
        <v>11.6</v>
      </c>
      <c r="H38" s="528">
        <v>10.219178082191782</v>
      </c>
      <c r="I38" s="528">
        <v>2.3049505404098691</v>
      </c>
      <c r="J38" s="528">
        <v>2.1774064223241298</v>
      </c>
      <c r="K38" s="528">
        <v>-4.2187607125800808</v>
      </c>
      <c r="L38" s="528">
        <v>-0.63008075780276041</v>
      </c>
      <c r="M38" s="528">
        <v>34.191261957974355</v>
      </c>
    </row>
    <row r="39" spans="1:17" ht="13.5" customHeight="1">
      <c r="A39" s="529" t="s">
        <v>124</v>
      </c>
      <c r="B39" s="529" t="s">
        <v>124</v>
      </c>
      <c r="C39" s="528">
        <v>0.23854851722717285</v>
      </c>
      <c r="D39" s="528">
        <v>11.717143058776855</v>
      </c>
      <c r="E39" s="528">
        <v>0.70410490036010742</v>
      </c>
      <c r="F39" s="528">
        <v>34.692813873291016</v>
      </c>
      <c r="G39" s="528">
        <v>14.930383724768195</v>
      </c>
      <c r="H39" s="528">
        <v>11.761643835616438</v>
      </c>
      <c r="I39" s="528">
        <v>6.1478418670002366</v>
      </c>
      <c r="J39" s="528">
        <v>2.5018838365340694</v>
      </c>
      <c r="K39" s="528">
        <v>-4.053773745616871</v>
      </c>
      <c r="L39" s="528">
        <v>-6.3098102419319497</v>
      </c>
      <c r="M39" s="528">
        <v>24.942527434252298</v>
      </c>
    </row>
    <row r="40" spans="1:17" ht="13.5" customHeight="1">
      <c r="A40" s="529" t="s">
        <v>991</v>
      </c>
      <c r="B40" s="529" t="s">
        <v>991</v>
      </c>
      <c r="C40" s="528" t="s">
        <v>145</v>
      </c>
      <c r="D40" s="528" t="s">
        <v>145</v>
      </c>
      <c r="E40" s="528" t="s">
        <v>145</v>
      </c>
      <c r="F40" s="528" t="s">
        <v>145</v>
      </c>
      <c r="G40" s="528" t="s">
        <v>145</v>
      </c>
      <c r="H40" s="528" t="s">
        <v>145</v>
      </c>
      <c r="I40" s="528" t="s">
        <v>145</v>
      </c>
      <c r="J40" s="528" t="s">
        <v>145</v>
      </c>
      <c r="K40" s="528">
        <v>-5.7056467780776687</v>
      </c>
      <c r="L40" s="528" t="s">
        <v>145</v>
      </c>
      <c r="M40" s="528">
        <v>27.629274484958135</v>
      </c>
    </row>
    <row r="41" spans="1:17" ht="13.5" customHeight="1">
      <c r="A41" s="529" t="s">
        <v>992</v>
      </c>
      <c r="B41" s="529" t="s">
        <v>992</v>
      </c>
      <c r="C41" s="528">
        <v>3.2692995071411133</v>
      </c>
      <c r="D41" s="528">
        <v>113.69062805175781</v>
      </c>
      <c r="E41" s="528">
        <v>0.59686541557312012</v>
      </c>
      <c r="F41" s="528">
        <v>26.323577880859375</v>
      </c>
      <c r="G41" s="528">
        <v>10.293590443121062</v>
      </c>
      <c r="H41" s="528">
        <v>7.7342465753424658</v>
      </c>
      <c r="I41" s="528">
        <v>7.893095423732615</v>
      </c>
      <c r="J41" s="528">
        <v>-1.4382179701516233</v>
      </c>
      <c r="K41" s="528">
        <v>-0.20255243461333833</v>
      </c>
      <c r="L41" s="528">
        <v>-3.273722554325301</v>
      </c>
      <c r="M41" s="528">
        <v>8.7995609571263191</v>
      </c>
    </row>
    <row r="42" spans="1:17" ht="13.5" customHeight="1">
      <c r="A42" s="529" t="s">
        <v>1101</v>
      </c>
      <c r="B42" s="529" t="s">
        <v>1102</v>
      </c>
      <c r="C42" s="528">
        <v>0.70887184143066406</v>
      </c>
      <c r="D42" s="528">
        <v>46.858566284179688</v>
      </c>
      <c r="E42" s="528" t="s">
        <v>145</v>
      </c>
      <c r="F42" s="528" t="s">
        <v>145</v>
      </c>
      <c r="G42" s="528" t="s">
        <v>139</v>
      </c>
      <c r="H42" s="528">
        <v>5.5</v>
      </c>
      <c r="I42" s="528" t="s">
        <v>145</v>
      </c>
      <c r="J42" s="528" t="s">
        <v>139</v>
      </c>
      <c r="K42" s="528" t="s">
        <v>145</v>
      </c>
      <c r="L42" s="528" t="s">
        <v>145</v>
      </c>
      <c r="M42" s="528" t="s">
        <v>145</v>
      </c>
    </row>
    <row r="43" spans="1:17" ht="13.5" customHeight="1">
      <c r="A43" s="529" t="s">
        <v>994</v>
      </c>
      <c r="B43" s="529" t="s">
        <v>994</v>
      </c>
      <c r="C43" s="528" t="s">
        <v>145</v>
      </c>
      <c r="D43" s="528" t="s">
        <v>145</v>
      </c>
      <c r="E43" s="528" t="s">
        <v>145</v>
      </c>
      <c r="F43" s="528" t="s">
        <v>145</v>
      </c>
      <c r="G43" s="528" t="s">
        <v>145</v>
      </c>
      <c r="H43" s="528" t="s">
        <v>145</v>
      </c>
      <c r="I43" s="528" t="s">
        <v>145</v>
      </c>
      <c r="J43" s="528" t="s">
        <v>145</v>
      </c>
      <c r="K43" s="528">
        <v>-2.9664295605576663</v>
      </c>
      <c r="L43" s="528" t="s">
        <v>145</v>
      </c>
      <c r="M43" s="528" t="s">
        <v>145</v>
      </c>
      <c r="Q43" s="541" t="s">
        <v>1099</v>
      </c>
    </row>
    <row r="44" spans="1:17" ht="13.5" customHeight="1">
      <c r="A44" s="529" t="s">
        <v>995</v>
      </c>
      <c r="B44" s="529" t="s">
        <v>995</v>
      </c>
      <c r="C44" s="528">
        <v>0.37608444690704346</v>
      </c>
      <c r="D44" s="528">
        <v>42.7994384765625</v>
      </c>
      <c r="E44" s="528">
        <v>0.50457191467285156</v>
      </c>
      <c r="F44" s="528">
        <v>25.375213623046875</v>
      </c>
      <c r="G44" s="528" t="s">
        <v>139</v>
      </c>
      <c r="H44" s="528">
        <v>4.4438356164383563</v>
      </c>
      <c r="I44" s="528">
        <v>6.8634496705511161</v>
      </c>
      <c r="J44" s="528">
        <v>-1.8354111276890448</v>
      </c>
      <c r="K44" s="528">
        <v>1.9342319447616489</v>
      </c>
      <c r="L44" s="528">
        <v>2.9068837768282001</v>
      </c>
      <c r="M44" s="528" t="s">
        <v>145</v>
      </c>
    </row>
    <row r="45" spans="1:17" ht="13.5" customHeight="1">
      <c r="A45" s="529" t="s">
        <v>1103</v>
      </c>
      <c r="B45" s="529" t="s">
        <v>997</v>
      </c>
      <c r="C45" s="528">
        <v>0.63716030120849609</v>
      </c>
      <c r="D45" s="528">
        <v>40.476581573486328</v>
      </c>
      <c r="E45" s="528">
        <v>1.1777448654174805</v>
      </c>
      <c r="F45" s="528">
        <v>55.338264465332031</v>
      </c>
      <c r="G45" s="528">
        <v>5.4777081886782941</v>
      </c>
      <c r="H45" s="528">
        <v>12.857534246575343</v>
      </c>
      <c r="I45" s="528">
        <v>4.8463645837057729</v>
      </c>
      <c r="J45" s="528">
        <v>-3.6456582369588868</v>
      </c>
      <c r="K45" s="528">
        <v>-2.2862376323465128</v>
      </c>
      <c r="L45" s="528">
        <v>-2.2023611833715298</v>
      </c>
      <c r="M45" s="528">
        <v>43.489058490000573</v>
      </c>
    </row>
    <row r="46" spans="1:17" ht="13.5" customHeight="1">
      <c r="A46" s="531" t="s">
        <v>998</v>
      </c>
      <c r="B46" s="531" t="s">
        <v>998</v>
      </c>
      <c r="C46" s="532" t="s">
        <v>145</v>
      </c>
      <c r="D46" s="532" t="s">
        <v>145</v>
      </c>
      <c r="E46" s="532" t="s">
        <v>145</v>
      </c>
      <c r="F46" s="532" t="s">
        <v>145</v>
      </c>
      <c r="G46" s="532" t="s">
        <v>139</v>
      </c>
      <c r="H46" s="532" t="s">
        <v>145</v>
      </c>
      <c r="I46" s="532" t="s">
        <v>145</v>
      </c>
      <c r="J46" s="532" t="s">
        <v>145</v>
      </c>
      <c r="K46" s="532">
        <v>-12.511918940847567</v>
      </c>
      <c r="L46" s="532">
        <v>-5.0563879945603523</v>
      </c>
      <c r="M46" s="532" t="s">
        <v>145</v>
      </c>
      <c r="P46" s="542" t="s">
        <v>1104</v>
      </c>
    </row>
    <row r="47" spans="1:17" ht="6" customHeight="1">
      <c r="A47" s="544"/>
      <c r="B47" s="544"/>
      <c r="C47" s="528"/>
      <c r="D47" s="528"/>
      <c r="E47" s="528"/>
      <c r="F47" s="528"/>
      <c r="G47" s="528"/>
      <c r="H47" s="528"/>
      <c r="I47" s="533"/>
      <c r="J47" s="533"/>
      <c r="K47" s="528"/>
      <c r="L47" s="528"/>
      <c r="M47" s="528"/>
    </row>
    <row r="51" ht="15.75" customHeight="1"/>
    <row r="54" ht="15.75" customHeight="1"/>
    <row r="56" ht="7.5" customHeight="1"/>
  </sheetData>
  <conditionalFormatting sqref="A7:M7 A8:F11 G8:M39 C12:F39 A12:B46 C40:M40 E41:M46 C41:D47">
    <cfRule type="expression" dxfId="8" priority="1">
      <formula>MOD(ROW(),2)=0</formula>
    </cfRule>
  </conditionalFormatting>
  <pageMargins left="0.7" right="0.7" top="0.75" bottom="0.75" header="0.3" footer="0.3"/>
  <pageSetup scale="58" orientation="landscape"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97AE-AE74-47B1-8813-CDA1B1AFFDF5}">
  <sheetPr>
    <pageSetUpPr fitToPage="1"/>
  </sheetPr>
  <dimension ref="A1:O56"/>
  <sheetViews>
    <sheetView showGridLines="0" zoomScale="110" zoomScaleNormal="110" workbookViewId="0">
      <pane xSplit="2" ySplit="4" topLeftCell="C23" activePane="bottomRight" state="frozen"/>
      <selection pane="bottomRight"/>
      <selection pane="bottomLeft" activeCell="B88" sqref="B88:K88"/>
      <selection pane="topRight" activeCell="B88" sqref="B88:K88"/>
    </sheetView>
  </sheetViews>
  <sheetFormatPr defaultColWidth="8.7109375" defaultRowHeight="12.75" outlineLevelCol="1"/>
  <cols>
    <col min="1" max="1" width="29.85546875" style="517" customWidth="1"/>
    <col min="2" max="2" width="14.140625" style="517" hidden="1" customWidth="1" outlineLevel="1"/>
    <col min="3" max="3" width="13" style="517" customWidth="1" collapsed="1"/>
    <col min="4" max="4" width="14.140625" style="517" customWidth="1"/>
    <col min="5" max="6" width="13" style="517" customWidth="1"/>
    <col min="7" max="7" width="13" style="534" hidden="1" customWidth="1" outlineLevel="1"/>
    <col min="8" max="8" width="13.7109375" style="534" customWidth="1" collapsed="1"/>
    <col min="9" max="10" width="14.42578125" style="534" customWidth="1"/>
    <col min="11" max="12" width="13" style="534" customWidth="1"/>
    <col min="13" max="13" width="18.7109375" style="517" customWidth="1"/>
    <col min="14" max="16384" width="8.7109375" style="517"/>
  </cols>
  <sheetData>
    <row r="1" spans="1:15"/>
    <row r="2" spans="1:15" s="537" customFormat="1" ht="17.25" customHeight="1">
      <c r="A2" s="535" t="s">
        <v>71</v>
      </c>
      <c r="B2" s="536"/>
      <c r="C2" s="536"/>
      <c r="D2" s="536"/>
      <c r="E2" s="536"/>
      <c r="F2" s="536"/>
      <c r="G2" s="536"/>
      <c r="H2" s="536"/>
      <c r="I2" s="536"/>
      <c r="J2" s="536"/>
      <c r="K2" s="536"/>
      <c r="L2" s="536"/>
      <c r="M2" s="536"/>
    </row>
    <row r="3" spans="1:15">
      <c r="A3" s="538" t="s">
        <v>1080</v>
      </c>
      <c r="B3" s="539"/>
      <c r="C3" s="539"/>
      <c r="D3" s="539"/>
      <c r="E3" s="539"/>
      <c r="F3" s="539"/>
      <c r="G3" s="539"/>
      <c r="H3" s="539"/>
      <c r="I3" s="539"/>
      <c r="J3" s="539"/>
      <c r="K3" s="539"/>
      <c r="L3" s="539"/>
      <c r="M3" s="539"/>
    </row>
    <row r="4" spans="1:15" ht="78" customHeight="1">
      <c r="A4" s="540"/>
      <c r="B4" s="540"/>
      <c r="C4" s="521" t="s">
        <v>1095</v>
      </c>
      <c r="D4" s="521" t="s">
        <v>1096</v>
      </c>
      <c r="E4" s="521" t="s">
        <v>1083</v>
      </c>
      <c r="F4" s="521" t="s">
        <v>1084</v>
      </c>
      <c r="G4" s="521" t="s">
        <v>1105</v>
      </c>
      <c r="H4" s="521" t="s">
        <v>1106</v>
      </c>
      <c r="I4" s="521" t="s">
        <v>1087</v>
      </c>
      <c r="J4" s="521" t="s">
        <v>1107</v>
      </c>
      <c r="K4" s="521" t="s">
        <v>1089</v>
      </c>
      <c r="L4" s="521" t="s">
        <v>1090</v>
      </c>
      <c r="M4" s="521" t="s">
        <v>1108</v>
      </c>
    </row>
    <row r="5" spans="1:15">
      <c r="A5" s="545" t="s">
        <v>196</v>
      </c>
      <c r="B5" s="546"/>
      <c r="C5" s="547">
        <v>0.45507896171571355</v>
      </c>
      <c r="D5" s="547">
        <v>19.803247988497233</v>
      </c>
      <c r="E5" s="547">
        <v>0.17714059474570915</v>
      </c>
      <c r="F5" s="547">
        <v>8.1075579771237898</v>
      </c>
      <c r="G5" s="547" t="s">
        <v>145</v>
      </c>
      <c r="H5" s="547">
        <v>7.5398234997546503</v>
      </c>
      <c r="I5" s="547">
        <v>9.6833115070250315</v>
      </c>
      <c r="J5" s="547">
        <v>-7.7145995938582548</v>
      </c>
      <c r="K5" s="547">
        <v>-3.3264840992586495</v>
      </c>
      <c r="L5" s="547">
        <v>-3.8604847646253488</v>
      </c>
      <c r="M5" s="547">
        <v>45.688466440427597</v>
      </c>
      <c r="N5" s="525"/>
      <c r="O5" s="525"/>
    </row>
    <row r="6" spans="1:15" ht="14.25" customHeight="1">
      <c r="A6" s="548" t="s">
        <v>1039</v>
      </c>
      <c r="B6" s="548" t="s">
        <v>1039</v>
      </c>
      <c r="C6" s="528">
        <v>0.14152336120605469</v>
      </c>
      <c r="D6" s="528">
        <v>6.6454620361328125</v>
      </c>
      <c r="E6" s="528">
        <v>0.14152336120605469</v>
      </c>
      <c r="F6" s="528">
        <v>6.6454620361328125</v>
      </c>
      <c r="G6" s="528" t="s">
        <v>145</v>
      </c>
      <c r="H6" s="528" t="s">
        <v>145</v>
      </c>
      <c r="I6" s="528" t="s">
        <v>145</v>
      </c>
      <c r="J6" s="528" t="s">
        <v>145</v>
      </c>
      <c r="K6" s="528">
        <v>-0.43938986918582645</v>
      </c>
      <c r="L6" s="528" t="s">
        <v>145</v>
      </c>
      <c r="M6" s="528" t="s">
        <v>145</v>
      </c>
    </row>
    <row r="7" spans="1:15" ht="13.5" customHeight="1">
      <c r="A7" s="529" t="s">
        <v>1040</v>
      </c>
      <c r="B7" s="529" t="s">
        <v>1040</v>
      </c>
      <c r="C7" s="528">
        <v>0.22252321243286133</v>
      </c>
      <c r="D7" s="528">
        <v>12.524570465087891</v>
      </c>
      <c r="E7" s="528">
        <v>6.5189152956008911E-2</v>
      </c>
      <c r="F7" s="528">
        <v>2.9580767154693604</v>
      </c>
      <c r="G7" s="528" t="s">
        <v>145</v>
      </c>
      <c r="H7" s="528">
        <v>5.2438356164383562</v>
      </c>
      <c r="I7" s="528">
        <v>8.0216333675661904</v>
      </c>
      <c r="J7" s="528">
        <v>-6.6058692628687226</v>
      </c>
      <c r="K7" s="528">
        <v>-3.5160090434600573</v>
      </c>
      <c r="L7" s="528">
        <v>-5.1321299363549828</v>
      </c>
      <c r="M7" s="528">
        <v>31.431859491383925</v>
      </c>
    </row>
    <row r="8" spans="1:15" ht="13.5" customHeight="1">
      <c r="A8" s="529" t="s">
        <v>1041</v>
      </c>
      <c r="B8" s="529" t="s">
        <v>1041</v>
      </c>
      <c r="C8" s="528">
        <v>2.1510779857635498E-2</v>
      </c>
      <c r="D8" s="528">
        <v>1.2083131074905396</v>
      </c>
      <c r="E8" s="528">
        <v>9.6814870834350586E-2</v>
      </c>
      <c r="F8" s="528">
        <v>4.503166675567627</v>
      </c>
      <c r="G8" s="528" t="s">
        <v>145</v>
      </c>
      <c r="H8" s="528">
        <v>8.1068493150684926</v>
      </c>
      <c r="I8" s="528">
        <v>6.5106388691951134</v>
      </c>
      <c r="J8" s="528">
        <v>-4.2772167727886607</v>
      </c>
      <c r="K8" s="528">
        <v>-2.5990462222971562</v>
      </c>
      <c r="L8" s="528">
        <v>-3.1333333333333058</v>
      </c>
      <c r="M8" s="528" t="s">
        <v>145</v>
      </c>
    </row>
    <row r="9" spans="1:15" ht="13.5" customHeight="1">
      <c r="A9" s="529" t="s">
        <v>1042</v>
      </c>
      <c r="B9" s="529" t="s">
        <v>1042</v>
      </c>
      <c r="C9" s="528">
        <v>2.5037407875061035E-2</v>
      </c>
      <c r="D9" s="528">
        <v>2.2405393123626709</v>
      </c>
      <c r="E9" s="528">
        <v>0.35328221321105957</v>
      </c>
      <c r="F9" s="528">
        <v>16.397014617919922</v>
      </c>
      <c r="G9" s="528" t="s">
        <v>145</v>
      </c>
      <c r="H9" s="528">
        <v>3.3452054794520549</v>
      </c>
      <c r="I9" s="528">
        <v>17.325823419361924</v>
      </c>
      <c r="J9" s="528">
        <v>-3.3920253768587738</v>
      </c>
      <c r="K9" s="528">
        <v>-3.4888851549982167</v>
      </c>
      <c r="L9" s="528">
        <v>-5.0548204854437682</v>
      </c>
      <c r="M9" s="528">
        <v>43.626366484397494</v>
      </c>
    </row>
    <row r="10" spans="1:15" ht="13.5" customHeight="1">
      <c r="A10" s="529" t="s">
        <v>1043</v>
      </c>
      <c r="B10" s="529" t="s">
        <v>1043</v>
      </c>
      <c r="C10" s="528">
        <v>0.40384119749069214</v>
      </c>
      <c r="D10" s="528">
        <v>14.144659042358398</v>
      </c>
      <c r="E10" s="528">
        <v>0.27269744873046875</v>
      </c>
      <c r="F10" s="528">
        <v>12.278562545776367</v>
      </c>
      <c r="G10" s="528" t="s">
        <v>145</v>
      </c>
      <c r="H10" s="528" t="s">
        <v>145</v>
      </c>
      <c r="I10" s="528" t="s">
        <v>145</v>
      </c>
      <c r="J10" s="528">
        <v>-7.1599865373321148</v>
      </c>
      <c r="K10" s="528">
        <v>-0.85992513460840936</v>
      </c>
      <c r="L10" s="528">
        <v>-3.4110856476380018</v>
      </c>
      <c r="M10" s="528">
        <v>90.755319730939149</v>
      </c>
    </row>
    <row r="11" spans="1:15" ht="13.5" customHeight="1">
      <c r="A11" s="529" t="s">
        <v>1044</v>
      </c>
      <c r="B11" s="529" t="s">
        <v>1044</v>
      </c>
      <c r="C11" s="528">
        <v>3.6818265914916992E-2</v>
      </c>
      <c r="D11" s="528">
        <v>3.176516056060791</v>
      </c>
      <c r="E11" s="528">
        <v>7.0382177829742432E-2</v>
      </c>
      <c r="F11" s="528">
        <v>3.2804381847381592</v>
      </c>
      <c r="G11" s="528" t="s">
        <v>145</v>
      </c>
      <c r="H11" s="528">
        <v>4.8520547945205479</v>
      </c>
      <c r="I11" s="528">
        <v>8.8156373728913326</v>
      </c>
      <c r="J11" s="528">
        <v>-4.5350238751722456</v>
      </c>
      <c r="K11" s="528">
        <v>-3.6926568185835356</v>
      </c>
      <c r="L11" s="528">
        <v>-0.75244609845457477</v>
      </c>
      <c r="M11" s="528">
        <v>64.445274757342332</v>
      </c>
    </row>
    <row r="12" spans="1:15" ht="13.5" customHeight="1">
      <c r="A12" s="529" t="s">
        <v>241</v>
      </c>
      <c r="B12" s="529" t="s">
        <v>241</v>
      </c>
      <c r="C12" s="528">
        <v>1.2326762080192566E-2</v>
      </c>
      <c r="D12" s="528">
        <v>0.68355828523635864</v>
      </c>
      <c r="E12" s="528">
        <v>0.10156667232513428</v>
      </c>
      <c r="F12" s="528">
        <v>4.739689826965332</v>
      </c>
      <c r="G12" s="528" t="s">
        <v>145</v>
      </c>
      <c r="H12" s="528" t="s">
        <v>145</v>
      </c>
      <c r="I12" s="528" t="s">
        <v>145</v>
      </c>
      <c r="J12" s="528">
        <v>-2.7093256260872516</v>
      </c>
      <c r="K12" s="528">
        <v>-1.3199314127945911</v>
      </c>
      <c r="L12" s="528">
        <v>5.2544859316270083</v>
      </c>
      <c r="M12" s="528" t="s">
        <v>145</v>
      </c>
    </row>
    <row r="13" spans="1:15" ht="13.5" customHeight="1">
      <c r="A13" s="529" t="s">
        <v>1045</v>
      </c>
      <c r="B13" s="529" t="s">
        <v>1045</v>
      </c>
      <c r="C13" s="528" t="s">
        <v>145</v>
      </c>
      <c r="D13" s="528" t="s">
        <v>145</v>
      </c>
      <c r="E13" s="528">
        <v>6.9557249546051025E-2</v>
      </c>
      <c r="F13" s="528">
        <v>3.2646133899688721</v>
      </c>
      <c r="G13" s="528" t="s">
        <v>145</v>
      </c>
      <c r="H13" s="528" t="s">
        <v>145</v>
      </c>
      <c r="I13" s="528" t="s">
        <v>145</v>
      </c>
      <c r="J13" s="528">
        <v>-3.403329775856522</v>
      </c>
      <c r="K13" s="528">
        <v>0.23730178947239688</v>
      </c>
      <c r="L13" s="528">
        <v>-2.8896673927341268</v>
      </c>
      <c r="M13" s="528" t="s">
        <v>145</v>
      </c>
    </row>
    <row r="14" spans="1:15" ht="13.5" customHeight="1">
      <c r="A14" s="529" t="s">
        <v>1046</v>
      </c>
      <c r="B14" s="529" t="s">
        <v>1046</v>
      </c>
      <c r="C14" s="528">
        <v>0.17124485969543457</v>
      </c>
      <c r="D14" s="528">
        <v>8.8775510787963867</v>
      </c>
      <c r="E14" s="528">
        <v>0.23315334320068359</v>
      </c>
      <c r="F14" s="528">
        <v>10.618067741394043</v>
      </c>
      <c r="G14" s="528" t="s">
        <v>145</v>
      </c>
      <c r="H14" s="528" t="s">
        <v>145</v>
      </c>
      <c r="I14" s="528" t="s">
        <v>145</v>
      </c>
      <c r="J14" s="528">
        <v>-2.1161596599745867</v>
      </c>
      <c r="K14" s="528">
        <v>-4.4181675475130273</v>
      </c>
      <c r="L14" s="528">
        <v>4.4552825428645262</v>
      </c>
      <c r="M14" s="528" t="s">
        <v>145</v>
      </c>
    </row>
    <row r="15" spans="1:15" ht="13.5" customHeight="1">
      <c r="A15" s="529" t="s">
        <v>239</v>
      </c>
      <c r="B15" s="529" t="s">
        <v>239</v>
      </c>
      <c r="C15" s="528">
        <v>6.5462350845336914E-2</v>
      </c>
      <c r="D15" s="528">
        <v>6.8325128555297852</v>
      </c>
      <c r="E15" s="528">
        <v>0.1357576847076416</v>
      </c>
      <c r="F15" s="528">
        <v>6.1715264320373535</v>
      </c>
      <c r="G15" s="528" t="s">
        <v>145</v>
      </c>
      <c r="H15" s="528" t="s">
        <v>145</v>
      </c>
      <c r="I15" s="528" t="s">
        <v>145</v>
      </c>
      <c r="J15" s="528">
        <v>-3.7950337677790631</v>
      </c>
      <c r="K15" s="528">
        <v>-2.3628452811444318</v>
      </c>
      <c r="L15" s="528">
        <v>-3.5111872187342485</v>
      </c>
      <c r="M15" s="528" t="s">
        <v>145</v>
      </c>
    </row>
    <row r="16" spans="1:15" ht="13.5" customHeight="1">
      <c r="A16" s="529" t="s">
        <v>1048</v>
      </c>
      <c r="B16" s="529" t="s">
        <v>1048</v>
      </c>
      <c r="C16" s="528">
        <v>3.4516990184783936E-2</v>
      </c>
      <c r="D16" s="528">
        <v>1.7972991466522217</v>
      </c>
      <c r="E16" s="528">
        <v>0.1245039701461792</v>
      </c>
      <c r="F16" s="528">
        <v>5.7649140357971191</v>
      </c>
      <c r="G16" s="528" t="s">
        <v>145</v>
      </c>
      <c r="H16" s="528" t="s">
        <v>145</v>
      </c>
      <c r="I16" s="528" t="s">
        <v>145</v>
      </c>
      <c r="J16" s="528">
        <v>-18.156950600607676</v>
      </c>
      <c r="K16" s="528">
        <v>-2.3422667315887566</v>
      </c>
      <c r="L16" s="528">
        <v>-3.083333333333321</v>
      </c>
      <c r="M16" s="528" t="s">
        <v>145</v>
      </c>
    </row>
    <row r="17" spans="1:15" ht="13.5" customHeight="1">
      <c r="A17" s="529" t="s">
        <v>1049</v>
      </c>
      <c r="B17" s="529" t="s">
        <v>1049</v>
      </c>
      <c r="C17" s="528">
        <v>0.19165492057800293</v>
      </c>
      <c r="D17" s="528">
        <v>8.0702428817749023</v>
      </c>
      <c r="E17" s="528">
        <v>0.29318642616271973</v>
      </c>
      <c r="F17" s="528">
        <v>13.329126358032227</v>
      </c>
      <c r="G17" s="528" t="s">
        <v>145</v>
      </c>
      <c r="H17" s="528">
        <v>7.0356164383561648</v>
      </c>
      <c r="I17" s="528">
        <v>14.031290112617947</v>
      </c>
      <c r="J17" s="528">
        <v>-8.1452518045157571</v>
      </c>
      <c r="K17" s="528">
        <v>-6.7858977544599339</v>
      </c>
      <c r="L17" s="528">
        <v>-6.5992132118789071</v>
      </c>
      <c r="M17" s="528" t="s">
        <v>145</v>
      </c>
    </row>
    <row r="18" spans="1:15" ht="13.5" customHeight="1">
      <c r="A18" s="529" t="s">
        <v>1050</v>
      </c>
      <c r="B18" s="529" t="s">
        <v>1050</v>
      </c>
      <c r="C18" s="528">
        <v>-9.1435015201568604E-4</v>
      </c>
      <c r="D18" s="528">
        <v>4.4451102614402771E-2</v>
      </c>
      <c r="E18" s="528">
        <v>0.11486488580703735</v>
      </c>
      <c r="F18" s="528">
        <v>5.3462085723876953</v>
      </c>
      <c r="G18" s="528" t="s">
        <v>145</v>
      </c>
      <c r="H18" s="528" t="s">
        <v>145</v>
      </c>
      <c r="I18" s="528" t="s">
        <v>145</v>
      </c>
      <c r="J18" s="528">
        <v>-8.8206843566846267</v>
      </c>
      <c r="K18" s="528">
        <v>0.76053966330099854</v>
      </c>
      <c r="L18" s="528">
        <v>-2.3931691923189531</v>
      </c>
      <c r="M18" s="528" t="s">
        <v>145</v>
      </c>
    </row>
    <row r="19" spans="1:15" ht="13.5" customHeight="1">
      <c r="A19" s="529" t="s">
        <v>1051</v>
      </c>
      <c r="B19" s="529" t="s">
        <v>1051</v>
      </c>
      <c r="C19" s="528" t="s">
        <v>145</v>
      </c>
      <c r="D19" s="528" t="s">
        <v>145</v>
      </c>
      <c r="E19" s="528">
        <v>5.6216031312942505E-2</v>
      </c>
      <c r="F19" s="528">
        <v>2.5695006847381592</v>
      </c>
      <c r="G19" s="528" t="s">
        <v>145</v>
      </c>
      <c r="H19" s="528" t="s">
        <v>145</v>
      </c>
      <c r="I19" s="528" t="s">
        <v>145</v>
      </c>
      <c r="J19" s="528">
        <v>-13.505610408822236</v>
      </c>
      <c r="K19" s="528">
        <v>-1.8432109573434521</v>
      </c>
      <c r="L19" s="528">
        <v>-2.0327402089291673</v>
      </c>
      <c r="M19" s="528" t="s">
        <v>145</v>
      </c>
    </row>
    <row r="20" spans="1:15" ht="15" customHeight="1">
      <c r="A20" s="529" t="s">
        <v>1052</v>
      </c>
      <c r="B20" s="529" t="s">
        <v>1052</v>
      </c>
      <c r="C20" s="528" t="s">
        <v>145</v>
      </c>
      <c r="D20" s="528" t="s">
        <v>145</v>
      </c>
      <c r="E20" s="528" t="s">
        <v>145</v>
      </c>
      <c r="F20" s="528" t="s">
        <v>145</v>
      </c>
      <c r="G20" s="528" t="s">
        <v>145</v>
      </c>
      <c r="H20" s="528" t="s">
        <v>145</v>
      </c>
      <c r="I20" s="528" t="s">
        <v>145</v>
      </c>
      <c r="J20" s="528" t="s">
        <v>145</v>
      </c>
      <c r="K20" s="528">
        <v>-1.6763026061161947</v>
      </c>
      <c r="L20" s="528" t="s">
        <v>145</v>
      </c>
      <c r="M20" s="528" t="s">
        <v>145</v>
      </c>
      <c r="O20" s="541" t="s">
        <v>1109</v>
      </c>
    </row>
    <row r="21" spans="1:15" ht="13.5" customHeight="1">
      <c r="A21" s="529" t="s">
        <v>126</v>
      </c>
      <c r="B21" s="529" t="s">
        <v>126</v>
      </c>
      <c r="C21" s="528">
        <v>0.16956746578216553</v>
      </c>
      <c r="D21" s="528">
        <v>12.816374778747559</v>
      </c>
      <c r="E21" s="528">
        <v>0.30417442321777344</v>
      </c>
      <c r="F21" s="528">
        <v>13.534515380859375</v>
      </c>
      <c r="G21" s="528" t="s">
        <v>145</v>
      </c>
      <c r="H21" s="528">
        <v>8.6054794520547944</v>
      </c>
      <c r="I21" s="528">
        <v>7.7446238015886459</v>
      </c>
      <c r="J21" s="528">
        <v>-2.5309340620080887</v>
      </c>
      <c r="K21" s="528">
        <v>-6.5121468552601227</v>
      </c>
      <c r="L21" s="528">
        <v>-4.244007605648644</v>
      </c>
      <c r="M21" s="528">
        <v>45.174615041192212</v>
      </c>
    </row>
    <row r="22" spans="1:15" ht="13.5" customHeight="1">
      <c r="A22" s="529" t="s">
        <v>1053</v>
      </c>
      <c r="B22" s="529" t="s">
        <v>1053</v>
      </c>
      <c r="C22" s="528">
        <v>3.9598140716552734</v>
      </c>
      <c r="D22" s="528">
        <v>114.28779602050781</v>
      </c>
      <c r="E22" s="528">
        <v>0.29178500175476074</v>
      </c>
      <c r="F22" s="528">
        <v>13.496407508850098</v>
      </c>
      <c r="G22" s="528" t="s">
        <v>145</v>
      </c>
      <c r="H22" s="528" t="s">
        <v>145</v>
      </c>
      <c r="I22" s="528" t="s">
        <v>145</v>
      </c>
      <c r="J22" s="528">
        <v>-6.4465515065588939</v>
      </c>
      <c r="K22" s="528">
        <v>-3.1672468577966328</v>
      </c>
      <c r="L22" s="528">
        <v>-4.2676913208472209</v>
      </c>
      <c r="M22" s="528">
        <v>70.365081916704455</v>
      </c>
    </row>
    <row r="23" spans="1:15" ht="13.5" customHeight="1">
      <c r="A23" s="529" t="s">
        <v>1054</v>
      </c>
      <c r="B23" s="529" t="s">
        <v>1054</v>
      </c>
      <c r="C23" s="528">
        <v>0.1441228985786438</v>
      </c>
      <c r="D23" s="528">
        <v>6.8960056304931641</v>
      </c>
      <c r="E23" s="528">
        <v>0.15037226676940918</v>
      </c>
      <c r="F23" s="528">
        <v>6.883415699005127</v>
      </c>
      <c r="G23" s="528" t="s">
        <v>145</v>
      </c>
      <c r="H23" s="528" t="s">
        <v>145</v>
      </c>
      <c r="I23" s="528" t="s">
        <v>145</v>
      </c>
      <c r="J23" s="528">
        <v>-5.7236451791987264</v>
      </c>
      <c r="K23" s="528">
        <v>-4.1808959012811906</v>
      </c>
      <c r="L23" s="528">
        <v>-3.2525554952936648</v>
      </c>
      <c r="M23" s="528" t="s">
        <v>145</v>
      </c>
    </row>
    <row r="24" spans="1:15" ht="13.5" customHeight="1">
      <c r="A24" s="529" t="s">
        <v>1055</v>
      </c>
      <c r="B24" s="529" t="s">
        <v>1055</v>
      </c>
      <c r="C24" s="528">
        <v>0.20933127403259277</v>
      </c>
      <c r="D24" s="528">
        <v>10.762129783630371</v>
      </c>
      <c r="E24" s="528">
        <v>0.17343556880950928</v>
      </c>
      <c r="F24" s="528">
        <v>7.9290428161621094</v>
      </c>
      <c r="G24" s="528" t="s">
        <v>145</v>
      </c>
      <c r="H24" s="528" t="s">
        <v>145</v>
      </c>
      <c r="I24" s="528" t="s">
        <v>145</v>
      </c>
      <c r="J24" s="528">
        <v>-9.2295686214050079</v>
      </c>
      <c r="K24" s="528">
        <v>-2.0524963242357064</v>
      </c>
      <c r="L24" s="528">
        <v>-4.0048478530495109</v>
      </c>
      <c r="M24" s="528">
        <v>43.006237544739442</v>
      </c>
    </row>
    <row r="25" spans="1:15" ht="13.5" customHeight="1">
      <c r="A25" s="529" t="s">
        <v>1056</v>
      </c>
      <c r="B25" s="529" t="s">
        <v>1056</v>
      </c>
      <c r="C25" s="528">
        <v>-0.1042214035987854</v>
      </c>
      <c r="D25" s="528">
        <v>0.43320333957672119</v>
      </c>
      <c r="E25" s="528">
        <v>0.24337029457092285</v>
      </c>
      <c r="F25" s="528">
        <v>11.165370941162109</v>
      </c>
      <c r="G25" s="528" t="s">
        <v>145</v>
      </c>
      <c r="H25" s="528">
        <v>2.7</v>
      </c>
      <c r="I25" s="528">
        <v>26.662628060840618</v>
      </c>
      <c r="J25" s="528">
        <v>-3.4123493491540335</v>
      </c>
      <c r="K25" s="528">
        <v>-3.9225030715601807</v>
      </c>
      <c r="L25" s="528">
        <v>-6.3387263226533719</v>
      </c>
      <c r="M25" s="528">
        <v>43</v>
      </c>
    </row>
    <row r="26" spans="1:15" ht="13.5" customHeight="1">
      <c r="A26" s="529" t="s">
        <v>240</v>
      </c>
      <c r="B26" s="529" t="s">
        <v>240</v>
      </c>
      <c r="C26" s="528">
        <v>-0.13942313194274902</v>
      </c>
      <c r="D26" s="528">
        <v>-0.61007744073867798</v>
      </c>
      <c r="E26" s="528">
        <v>0.16367113590240479</v>
      </c>
      <c r="F26" s="528">
        <v>7.6493663787841797</v>
      </c>
      <c r="G26" s="528" t="s">
        <v>145</v>
      </c>
      <c r="H26" s="528">
        <v>3.1616438356164385</v>
      </c>
      <c r="I26" s="528">
        <v>17.113053516085756</v>
      </c>
      <c r="J26" s="528">
        <v>-4.1317612842379638</v>
      </c>
      <c r="K26" s="528">
        <v>-2.6586504173506671</v>
      </c>
      <c r="L26" s="528">
        <v>-3.6166666666666676</v>
      </c>
      <c r="M26" s="528" t="s">
        <v>145</v>
      </c>
    </row>
    <row r="27" spans="1:15" ht="13.5" customHeight="1">
      <c r="A27" s="529" t="s">
        <v>1057</v>
      </c>
      <c r="B27" s="529" t="s">
        <v>1057</v>
      </c>
      <c r="C27" s="528">
        <v>3.0081148147583008</v>
      </c>
      <c r="D27" s="528">
        <v>67.14361572265625</v>
      </c>
      <c r="E27" s="528">
        <v>0.7108612060546875</v>
      </c>
      <c r="F27" s="528">
        <v>31.698736190795898</v>
      </c>
      <c r="G27" s="528" t="s">
        <v>145</v>
      </c>
      <c r="H27" s="528" t="s">
        <v>145</v>
      </c>
      <c r="I27" s="528" t="s">
        <v>145</v>
      </c>
      <c r="J27" s="528">
        <v>-6.5309748156267</v>
      </c>
      <c r="K27" s="528">
        <v>-1.4424156662998127</v>
      </c>
      <c r="L27" s="528">
        <v>-3.9276059736036948</v>
      </c>
      <c r="M27" s="528">
        <v>56.008380139197016</v>
      </c>
    </row>
    <row r="28" spans="1:15" ht="13.5" customHeight="1">
      <c r="A28" s="529" t="s">
        <v>1058</v>
      </c>
      <c r="B28" s="529" t="s">
        <v>1058</v>
      </c>
      <c r="C28" s="528">
        <v>3.3793330192565918E-2</v>
      </c>
      <c r="D28" s="528">
        <v>4.3226938247680664</v>
      </c>
      <c r="E28" s="528">
        <v>0.30448389053344727</v>
      </c>
      <c r="F28" s="528">
        <v>14.207060813903809</v>
      </c>
      <c r="G28" s="528" t="s">
        <v>145</v>
      </c>
      <c r="H28" s="528">
        <v>3.1424657534246574</v>
      </c>
      <c r="I28" s="528">
        <v>32.711803420166838</v>
      </c>
      <c r="J28" s="528">
        <v>-10.714802675408581</v>
      </c>
      <c r="K28" s="528">
        <v>-4.3948253013831478</v>
      </c>
      <c r="L28" s="528">
        <v>-1.8565209212755065</v>
      </c>
      <c r="M28" s="528" t="s">
        <v>145</v>
      </c>
    </row>
    <row r="29" spans="1:15" ht="13.5" customHeight="1">
      <c r="A29" s="529" t="s">
        <v>1059</v>
      </c>
      <c r="B29" s="529" t="s">
        <v>1059</v>
      </c>
      <c r="C29" s="528">
        <v>0.21370786428451538</v>
      </c>
      <c r="D29" s="528">
        <v>9.5893154144287109</v>
      </c>
      <c r="E29" s="528" t="s">
        <v>145</v>
      </c>
      <c r="F29" s="528" t="s">
        <v>145</v>
      </c>
      <c r="G29" s="528" t="s">
        <v>145</v>
      </c>
      <c r="H29" s="528" t="s">
        <v>145</v>
      </c>
      <c r="I29" s="528" t="s">
        <v>145</v>
      </c>
      <c r="J29" s="528">
        <v>-6.693221230954487</v>
      </c>
      <c r="K29" s="528">
        <v>-2.8065703862662019</v>
      </c>
      <c r="L29" s="528">
        <v>-4.509746168507613</v>
      </c>
      <c r="M29" s="528" t="s">
        <v>145</v>
      </c>
    </row>
    <row r="30" spans="1:15" ht="13.5" customHeight="1">
      <c r="A30" s="529" t="s">
        <v>242</v>
      </c>
      <c r="B30" s="529" t="s">
        <v>242</v>
      </c>
      <c r="C30" s="528">
        <v>0.13028097152709961</v>
      </c>
      <c r="D30" s="528">
        <v>9.7055959701538086</v>
      </c>
      <c r="E30" s="528">
        <v>0.22471785545349121</v>
      </c>
      <c r="F30" s="528">
        <v>10.32891845703125</v>
      </c>
      <c r="G30" s="528" t="s">
        <v>145</v>
      </c>
      <c r="H30" s="528" t="s">
        <v>145</v>
      </c>
      <c r="I30" s="528" t="s">
        <v>145</v>
      </c>
      <c r="J30" s="528">
        <v>-7.6811357875863893</v>
      </c>
      <c r="K30" s="528">
        <v>-1.2511278150105882</v>
      </c>
      <c r="L30" s="528">
        <v>-3.284357389647163</v>
      </c>
      <c r="M30" s="528" t="s">
        <v>145</v>
      </c>
    </row>
    <row r="31" spans="1:15" ht="13.5" customHeight="1">
      <c r="A31" s="529" t="s">
        <v>1060</v>
      </c>
      <c r="B31" s="529" t="s">
        <v>1060</v>
      </c>
      <c r="C31" s="528">
        <v>0.61973881721496582</v>
      </c>
      <c r="D31" s="528">
        <v>38.336017608642578</v>
      </c>
      <c r="E31" s="528">
        <v>0.73800230026245117</v>
      </c>
      <c r="F31" s="528">
        <v>33.861942291259766</v>
      </c>
      <c r="G31" s="528" t="s">
        <v>145</v>
      </c>
      <c r="H31" s="528">
        <v>1.2684931506849315</v>
      </c>
      <c r="I31" s="528">
        <v>35.097060527884423</v>
      </c>
      <c r="J31" s="528">
        <v>-5.5721246929854473</v>
      </c>
      <c r="K31" s="528">
        <v>-1.3204337451220505</v>
      </c>
      <c r="L31" s="528">
        <v>-0.33022535414179061</v>
      </c>
      <c r="M31" s="528">
        <v>83.064004041025711</v>
      </c>
    </row>
    <row r="32" spans="1:15" ht="13.5" customHeight="1">
      <c r="A32" s="529" t="s">
        <v>1061</v>
      </c>
      <c r="B32" s="529" t="s">
        <v>1061</v>
      </c>
      <c r="C32" s="528">
        <v>3.5808861255645752E-2</v>
      </c>
      <c r="D32" s="528">
        <v>0.60656172037124634</v>
      </c>
      <c r="E32" s="528">
        <v>0.25142097473144531</v>
      </c>
      <c r="F32" s="528">
        <v>11.634540557861328</v>
      </c>
      <c r="G32" s="528" t="s">
        <v>145</v>
      </c>
      <c r="H32" s="528" t="s">
        <v>145</v>
      </c>
      <c r="I32" s="528" t="s">
        <v>145</v>
      </c>
      <c r="J32" s="528">
        <v>-6.0962213862107806</v>
      </c>
      <c r="K32" s="528">
        <v>-3.8475463110996717</v>
      </c>
      <c r="L32" s="528">
        <v>-3.5770131277542525</v>
      </c>
      <c r="M32" s="528" t="s">
        <v>145</v>
      </c>
    </row>
    <row r="33" spans="1:13" ht="13.5" customHeight="1">
      <c r="A33" s="529" t="s">
        <v>127</v>
      </c>
      <c r="B33" s="529" t="s">
        <v>127</v>
      </c>
      <c r="C33" s="528">
        <v>1.3101011514663696E-2</v>
      </c>
      <c r="D33" s="528">
        <v>0.83161896467208862</v>
      </c>
      <c r="E33" s="528">
        <v>6.267082691192627E-2</v>
      </c>
      <c r="F33" s="528">
        <v>2.9573581218719482</v>
      </c>
      <c r="G33" s="528" t="s">
        <v>145</v>
      </c>
      <c r="H33" s="528">
        <v>9.0301369863013701</v>
      </c>
      <c r="I33" s="528">
        <v>4.2934891760665481</v>
      </c>
      <c r="J33" s="528">
        <v>-5.6910443629081708</v>
      </c>
      <c r="K33" s="528">
        <v>-3.5102804566489327</v>
      </c>
      <c r="L33" s="528">
        <v>-5.6924213685409191</v>
      </c>
      <c r="M33" s="528" t="s">
        <v>145</v>
      </c>
    </row>
    <row r="34" spans="1:13" ht="13.5" customHeight="1">
      <c r="A34" s="529" t="s">
        <v>1062</v>
      </c>
      <c r="B34" s="529" t="s">
        <v>1062</v>
      </c>
      <c r="C34" s="528">
        <v>0.1060204803943634</v>
      </c>
      <c r="D34" s="528">
        <v>4.4650135040283203</v>
      </c>
      <c r="E34" s="528">
        <v>0.23110747337341309</v>
      </c>
      <c r="F34" s="528">
        <v>10.48587703704834</v>
      </c>
      <c r="G34" s="528" t="s">
        <v>145</v>
      </c>
      <c r="H34" s="528" t="s">
        <v>145</v>
      </c>
      <c r="I34" s="528" t="s">
        <v>145</v>
      </c>
      <c r="J34" s="528">
        <v>-0.2506381768005842</v>
      </c>
      <c r="K34" s="528">
        <v>-4.1383009305944327</v>
      </c>
      <c r="L34" s="528">
        <v>-1.9240168084611564</v>
      </c>
      <c r="M34" s="528">
        <v>40.929020300222028</v>
      </c>
    </row>
    <row r="35" spans="1:13" ht="13.5" customHeight="1">
      <c r="A35" s="529" t="s">
        <v>1063</v>
      </c>
      <c r="B35" s="529" t="s">
        <v>1063</v>
      </c>
      <c r="C35" s="528">
        <v>2.9179930686950684E-2</v>
      </c>
      <c r="D35" s="528">
        <v>1.2771811485290527</v>
      </c>
      <c r="E35" s="528">
        <v>0.37962508201599121</v>
      </c>
      <c r="F35" s="528">
        <v>17.352310180664063</v>
      </c>
      <c r="G35" s="528" t="s">
        <v>145</v>
      </c>
      <c r="H35" s="528">
        <v>6.6739726027397257</v>
      </c>
      <c r="I35" s="528">
        <v>10.050310245304651</v>
      </c>
      <c r="J35" s="528">
        <v>-9.1080415624913407</v>
      </c>
      <c r="K35" s="528">
        <v>-2.8356014797648239</v>
      </c>
      <c r="L35" s="528">
        <v>-4.1568920164023764</v>
      </c>
      <c r="M35" s="528">
        <v>72.994638534265093</v>
      </c>
    </row>
    <row r="36" spans="1:13" ht="13.5" customHeight="1">
      <c r="A36" s="529" t="s">
        <v>237</v>
      </c>
      <c r="B36" s="529" t="s">
        <v>237</v>
      </c>
      <c r="C36" s="528">
        <v>2.9962420463562012E-2</v>
      </c>
      <c r="D36" s="528" t="s">
        <v>145</v>
      </c>
      <c r="E36" s="528">
        <v>0.23216509819030762</v>
      </c>
      <c r="F36" s="528">
        <v>10.713630676269531</v>
      </c>
      <c r="G36" s="528" t="s">
        <v>145</v>
      </c>
      <c r="H36" s="528">
        <v>9.0794520547945208</v>
      </c>
      <c r="I36" s="528">
        <v>8.0498617562989114</v>
      </c>
      <c r="J36" s="528">
        <v>-5.3329865227183815</v>
      </c>
      <c r="K36" s="528">
        <v>-3.7294363706825888</v>
      </c>
      <c r="L36" s="528">
        <v>-3.4802377094026085</v>
      </c>
      <c r="M36" s="528" t="s">
        <v>145</v>
      </c>
    </row>
    <row r="37" spans="1:13" ht="13.5" customHeight="1">
      <c r="A37" s="529" t="s">
        <v>1064</v>
      </c>
      <c r="B37" s="529" t="s">
        <v>1064</v>
      </c>
      <c r="C37" s="528">
        <v>3.1431376934051514E-2</v>
      </c>
      <c r="D37" s="528">
        <v>1.1531108617782593</v>
      </c>
      <c r="E37" s="528">
        <v>0.15056824684143066</v>
      </c>
      <c r="F37" s="528">
        <v>6.969207763671875</v>
      </c>
      <c r="G37" s="528" t="s">
        <v>145</v>
      </c>
      <c r="H37" s="528" t="s">
        <v>145</v>
      </c>
      <c r="I37" s="528" t="s">
        <v>145</v>
      </c>
      <c r="J37" s="528">
        <v>-22.424311220644324</v>
      </c>
      <c r="K37" s="528">
        <v>-6.3065690789627853</v>
      </c>
      <c r="L37" s="528">
        <v>-2.6105297912055647</v>
      </c>
      <c r="M37" s="528" t="s">
        <v>145</v>
      </c>
    </row>
    <row r="38" spans="1:13" ht="13.5" customHeight="1">
      <c r="A38" s="529" t="s">
        <v>1065</v>
      </c>
      <c r="B38" s="529" t="s">
        <v>1065</v>
      </c>
      <c r="C38" s="528">
        <v>0.40308845043182373</v>
      </c>
      <c r="D38" s="528">
        <v>13.391919136047363</v>
      </c>
      <c r="E38" s="528">
        <v>0.27257728576660156</v>
      </c>
      <c r="F38" s="528">
        <v>12.48973560333252</v>
      </c>
      <c r="G38" s="528" t="s">
        <v>145</v>
      </c>
      <c r="H38" s="528" t="s">
        <v>145</v>
      </c>
      <c r="I38" s="528" t="s">
        <v>145</v>
      </c>
      <c r="J38" s="528">
        <v>-8.09413394725504</v>
      </c>
      <c r="K38" s="528">
        <v>-2.6020644843870988</v>
      </c>
      <c r="L38" s="528">
        <v>-2.4845315066538696</v>
      </c>
      <c r="M38" s="528">
        <v>87.663908203426033</v>
      </c>
    </row>
    <row r="39" spans="1:13" ht="13.5" customHeight="1">
      <c r="A39" s="529" t="s">
        <v>1066</v>
      </c>
      <c r="B39" s="529" t="s">
        <v>1066</v>
      </c>
      <c r="C39" s="528">
        <v>-2.2940397262573242E-2</v>
      </c>
      <c r="D39" s="528">
        <v>3.8242387771606445</v>
      </c>
      <c r="E39" s="528">
        <v>0.18072378635406494</v>
      </c>
      <c r="F39" s="528">
        <v>8.4400339126586914</v>
      </c>
      <c r="G39" s="528" t="s">
        <v>145</v>
      </c>
      <c r="H39" s="528">
        <v>9.4547945205479458</v>
      </c>
      <c r="I39" s="528">
        <v>4.2442348821162286</v>
      </c>
      <c r="J39" s="528">
        <v>-5.2651321056626355</v>
      </c>
      <c r="K39" s="528">
        <v>-2.6240964025683877</v>
      </c>
      <c r="L39" s="528">
        <v>-2.5653885002152621</v>
      </c>
      <c r="M39" s="528" t="s">
        <v>145</v>
      </c>
    </row>
    <row r="40" spans="1:13" ht="13.5" customHeight="1">
      <c r="A40" s="529" t="s">
        <v>243</v>
      </c>
      <c r="B40" s="529" t="s">
        <v>243</v>
      </c>
      <c r="C40" s="528">
        <v>5.789715051651001E-2</v>
      </c>
      <c r="D40" s="528">
        <v>3.7366294860839844</v>
      </c>
      <c r="E40" s="528">
        <v>8.1893861293792725E-2</v>
      </c>
      <c r="F40" s="528">
        <v>3.8445961475372314</v>
      </c>
      <c r="G40" s="528" t="s">
        <v>145</v>
      </c>
      <c r="H40" s="528" t="s">
        <v>145</v>
      </c>
      <c r="I40" s="528" t="s">
        <v>145</v>
      </c>
      <c r="J40" s="528">
        <v>-6.6638362583428608</v>
      </c>
      <c r="K40" s="528">
        <v>-3.105426973234195</v>
      </c>
      <c r="L40" s="528">
        <v>-2.4879159640301096</v>
      </c>
      <c r="M40" s="528">
        <v>54.474760178059839</v>
      </c>
    </row>
    <row r="41" spans="1:13" ht="13.5" customHeight="1">
      <c r="A41" s="529" t="s">
        <v>1067</v>
      </c>
      <c r="B41" s="529" t="s">
        <v>1067</v>
      </c>
      <c r="C41" s="528">
        <v>2.3283181190490723</v>
      </c>
      <c r="D41" s="528">
        <v>82.923362731933594</v>
      </c>
      <c r="E41" s="528">
        <v>0.36242175102233887</v>
      </c>
      <c r="F41" s="528">
        <v>17.075963973999023</v>
      </c>
      <c r="G41" s="528" t="s">
        <v>145</v>
      </c>
      <c r="H41" s="528" t="s">
        <v>145</v>
      </c>
      <c r="I41" s="528" t="s">
        <v>145</v>
      </c>
      <c r="J41" s="528">
        <v>-11.666867167378532</v>
      </c>
      <c r="K41" s="528">
        <v>1.6436153103094739</v>
      </c>
      <c r="L41" s="528">
        <v>-2.8712212583016719</v>
      </c>
      <c r="M41" s="528">
        <v>63.003436728244147</v>
      </c>
    </row>
    <row r="42" spans="1:13" ht="13.5" customHeight="1">
      <c r="A42" s="529" t="s">
        <v>128</v>
      </c>
      <c r="B42" s="529" t="s">
        <v>128</v>
      </c>
      <c r="C42" s="528">
        <v>1.5064339637756348</v>
      </c>
      <c r="D42" s="528">
        <v>64.237335205078125</v>
      </c>
      <c r="E42" s="528">
        <v>0.32310104370117188</v>
      </c>
      <c r="F42" s="528">
        <v>14.60785961151123</v>
      </c>
      <c r="G42" s="528" t="s">
        <v>145</v>
      </c>
      <c r="H42" s="528">
        <v>9.7013698630136993</v>
      </c>
      <c r="I42" s="528">
        <v>3.7415045530139759</v>
      </c>
      <c r="J42" s="528">
        <v>-7.8792933311854991</v>
      </c>
      <c r="K42" s="528">
        <v>-3.496496684850865</v>
      </c>
      <c r="L42" s="528">
        <v>-2.6822639710579703</v>
      </c>
      <c r="M42" s="528" t="s">
        <v>145</v>
      </c>
    </row>
    <row r="43" spans="1:13" ht="13.5" customHeight="1">
      <c r="A43" s="529" t="s">
        <v>1068</v>
      </c>
      <c r="B43" s="529" t="s">
        <v>1068</v>
      </c>
      <c r="C43" s="528">
        <v>6.9309473037719727E-2</v>
      </c>
      <c r="D43" s="528">
        <v>8.8081026077270508</v>
      </c>
      <c r="E43" s="528">
        <v>5.8381170034408569E-2</v>
      </c>
      <c r="F43" s="528">
        <v>2.713024377822876</v>
      </c>
      <c r="G43" s="528" t="s">
        <v>145</v>
      </c>
      <c r="H43" s="528" t="s">
        <v>145</v>
      </c>
      <c r="I43" s="528" t="s">
        <v>145</v>
      </c>
      <c r="J43" s="528">
        <v>-14.730219823759171</v>
      </c>
      <c r="K43" s="528">
        <v>-6.6553294335126179</v>
      </c>
      <c r="L43" s="528">
        <v>-1.166121815573651</v>
      </c>
      <c r="M43" s="528" t="s">
        <v>145</v>
      </c>
    </row>
    <row r="44" spans="1:13" ht="13.5" customHeight="1">
      <c r="A44" s="529" t="s">
        <v>1069</v>
      </c>
      <c r="B44" s="529" t="s">
        <v>1069</v>
      </c>
      <c r="C44" s="528">
        <v>0.15941357612609863</v>
      </c>
      <c r="D44" s="528">
        <v>10.143022537231445</v>
      </c>
      <c r="E44" s="528">
        <v>0.30013012886047363</v>
      </c>
      <c r="F44" s="528">
        <v>13.724090576171875</v>
      </c>
      <c r="G44" s="528" t="s">
        <v>145</v>
      </c>
      <c r="H44" s="528">
        <v>3.9232876712328766</v>
      </c>
      <c r="I44" s="528">
        <v>24.31960947212832</v>
      </c>
      <c r="J44" s="528">
        <v>-3.6970112236771611</v>
      </c>
      <c r="K44" s="528">
        <v>-6.8460978759610382</v>
      </c>
      <c r="L44" s="528">
        <v>-5.1648816738428769</v>
      </c>
      <c r="M44" s="528" t="s">
        <v>145</v>
      </c>
    </row>
    <row r="45" spans="1:13" ht="13.5" customHeight="1">
      <c r="A45" s="531" t="s">
        <v>1070</v>
      </c>
      <c r="B45" s="531" t="s">
        <v>1070</v>
      </c>
      <c r="C45" s="532">
        <v>-0.32429313659667969</v>
      </c>
      <c r="D45" s="532">
        <v>-1.7524127960205078</v>
      </c>
      <c r="E45" s="532">
        <v>9.5038533210754395E-2</v>
      </c>
      <c r="F45" s="532">
        <v>4.362576961517334</v>
      </c>
      <c r="G45" s="532" t="s">
        <v>145</v>
      </c>
      <c r="H45" s="532">
        <v>3.6794520547945204</v>
      </c>
      <c r="I45" s="532">
        <v>27.812481081953553</v>
      </c>
      <c r="J45" s="532">
        <v>-48.363193118219954</v>
      </c>
      <c r="K45" s="532">
        <v>-3.4727061743638803</v>
      </c>
      <c r="L45" s="532">
        <v>-2.3332140440013363</v>
      </c>
      <c r="M45" s="532" t="s">
        <v>145</v>
      </c>
    </row>
    <row r="46" spans="1:13" ht="6" customHeight="1">
      <c r="A46" s="544"/>
      <c r="B46" s="544"/>
      <c r="C46" s="528"/>
      <c r="D46" s="528"/>
      <c r="E46" s="528"/>
      <c r="F46" s="528"/>
      <c r="G46" s="528"/>
      <c r="H46" s="528"/>
      <c r="I46" s="533"/>
      <c r="J46" s="533"/>
      <c r="K46" s="528"/>
      <c r="L46" s="528"/>
      <c r="M46" s="528"/>
    </row>
    <row r="53" ht="12" customHeight="1"/>
    <row r="55" ht="7.5" customHeight="1"/>
    <row r="56" ht="7.5" customHeight="1"/>
  </sheetData>
  <conditionalFormatting sqref="A6:M45">
    <cfRule type="expression" dxfId="7" priority="1">
      <formula>MOD(ROW(),2)&lt;&gt;0</formula>
    </cfRule>
  </conditionalFormatting>
  <conditionalFormatting sqref="C5:M46">
    <cfRule type="expression" dxfId="6" priority="2">
      <formula>ROUND(#REF!,1)&lt;&gt;ROUND(C5,1)</formula>
    </cfRule>
  </conditionalFormatting>
  <dataValidations count="2">
    <dataValidation allowBlank="1" showErrorMessage="1" promptTitle="TRAFO" prompt="$A$1" sqref="A1" xr:uid="{61D46988-C1FC-419E-B9C5-40CCEC2F5972}"/>
    <dataValidation allowBlank="1" showErrorMessage="1" promptTitle="TRAFO" prompt="$A$7" sqref="A8" xr:uid="{836F56D0-FA0E-461A-9D7F-C1E8D9A66536}"/>
  </dataValidations>
  <pageMargins left="0.7" right="0.7" top="0.75" bottom="0.75" header="0.3" footer="0.3"/>
  <pageSetup scale="60" orientation="landscape" r:id="rId1"/>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A2B9-A08A-4E58-8633-18421BE7C2C7}">
  <dimension ref="A1:S101"/>
  <sheetViews>
    <sheetView showGridLines="0" zoomScale="70" zoomScaleNormal="70" workbookViewId="0">
      <pane ySplit="1" topLeftCell="A2" activePane="bottomLeft" state="frozen"/>
      <selection pane="bottomLeft" activeCell="J39" sqref="J39"/>
      <selection activeCell="B88" sqref="B88:K88"/>
    </sheetView>
  </sheetViews>
  <sheetFormatPr defaultColWidth="17.42578125" defaultRowHeight="12.75"/>
  <cols>
    <col min="1" max="1" width="19.85546875" style="338" customWidth="1"/>
    <col min="2" max="2" width="17.5703125" style="338" bestFit="1" customWidth="1"/>
    <col min="3" max="3" width="17.42578125" style="338"/>
    <col min="4" max="6" width="13.7109375" style="338" bestFit="1" customWidth="1"/>
    <col min="7" max="7" width="12.42578125" style="338" bestFit="1" customWidth="1"/>
    <col min="8" max="8" width="13.42578125" style="338" bestFit="1" customWidth="1"/>
    <col min="9" max="9" width="12.7109375" style="338" bestFit="1" customWidth="1"/>
    <col min="10" max="10" width="14.7109375" style="338" bestFit="1" customWidth="1"/>
    <col min="11" max="11" width="13.42578125" style="338" bestFit="1" customWidth="1"/>
    <col min="12" max="12" width="16.7109375" style="338" bestFit="1" customWidth="1"/>
    <col min="13" max="13" width="27.85546875" style="338" customWidth="1"/>
    <col min="14" max="14" width="15" style="338" bestFit="1" customWidth="1"/>
    <col min="15" max="16" width="19.85546875" style="338" bestFit="1" customWidth="1"/>
    <col min="17" max="17" width="13.85546875" style="338" bestFit="1" customWidth="1"/>
    <col min="18" max="18" width="17.42578125" style="338"/>
    <col min="19" max="19" width="17.5703125" style="338" bestFit="1" customWidth="1"/>
    <col min="20" max="16384" width="17.42578125" style="338"/>
  </cols>
  <sheetData>
    <row r="1" spans="1:19" s="332" customFormat="1" ht="64.5" customHeight="1">
      <c r="A1" s="331" t="s">
        <v>84</v>
      </c>
      <c r="B1" s="331" t="s">
        <v>1110</v>
      </c>
      <c r="C1" s="331" t="s">
        <v>1111</v>
      </c>
      <c r="D1" s="331" t="s">
        <v>914</v>
      </c>
      <c r="E1" s="331" t="s">
        <v>1112</v>
      </c>
      <c r="F1" s="331" t="s">
        <v>1113</v>
      </c>
      <c r="G1" s="331" t="s">
        <v>1114</v>
      </c>
      <c r="H1" s="331" t="s">
        <v>88</v>
      </c>
      <c r="I1" s="331" t="s">
        <v>1115</v>
      </c>
      <c r="J1" s="331" t="s">
        <v>1116</v>
      </c>
      <c r="K1" s="331" t="s">
        <v>1117</v>
      </c>
      <c r="L1" s="331" t="s">
        <v>1118</v>
      </c>
      <c r="M1" s="331" t="s">
        <v>1119</v>
      </c>
      <c r="N1" s="331" t="s">
        <v>1120</v>
      </c>
      <c r="O1" s="331" t="s">
        <v>1035</v>
      </c>
      <c r="P1" s="331" t="s">
        <v>1037</v>
      </c>
      <c r="Q1" s="331" t="s">
        <v>1121</v>
      </c>
      <c r="R1" s="331" t="s">
        <v>1122</v>
      </c>
      <c r="S1" s="331" t="s">
        <v>1123</v>
      </c>
    </row>
    <row r="2" spans="1:19" ht="13.5" customHeight="1">
      <c r="A2" s="333" t="s">
        <v>917</v>
      </c>
      <c r="B2" s="334" t="s">
        <v>1124</v>
      </c>
      <c r="C2" s="334" t="s">
        <v>1039</v>
      </c>
      <c r="D2" s="334" t="s">
        <v>87</v>
      </c>
      <c r="E2" s="334" t="s">
        <v>971</v>
      </c>
      <c r="F2" s="334" t="s">
        <v>279</v>
      </c>
      <c r="G2" s="334" t="s">
        <v>971</v>
      </c>
      <c r="H2" s="335" t="s">
        <v>439</v>
      </c>
      <c r="I2" s="335" t="s">
        <v>1125</v>
      </c>
      <c r="J2" s="335" t="s">
        <v>1124</v>
      </c>
      <c r="K2" s="336" t="s">
        <v>1126</v>
      </c>
      <c r="L2" s="336" t="s">
        <v>969</v>
      </c>
      <c r="M2" s="335" t="s">
        <v>970</v>
      </c>
      <c r="N2" s="336" t="s">
        <v>1040</v>
      </c>
      <c r="O2" s="336" t="s">
        <v>1051</v>
      </c>
      <c r="P2" s="335" t="s">
        <v>1041</v>
      </c>
      <c r="Q2" s="337" t="s">
        <v>1039</v>
      </c>
      <c r="R2" s="338" t="s">
        <v>241</v>
      </c>
      <c r="S2" s="336" t="s">
        <v>969</v>
      </c>
    </row>
    <row r="3" spans="1:19" ht="13.5" customHeight="1">
      <c r="A3" s="334" t="s">
        <v>279</v>
      </c>
      <c r="B3" s="334" t="s">
        <v>969</v>
      </c>
      <c r="C3" s="334" t="s">
        <v>1040</v>
      </c>
      <c r="D3" s="334" t="s">
        <v>90</v>
      </c>
      <c r="E3" s="334" t="s">
        <v>279</v>
      </c>
      <c r="F3" s="334" t="s">
        <v>87</v>
      </c>
      <c r="G3" s="334" t="s">
        <v>119</v>
      </c>
      <c r="H3" s="335" t="s">
        <v>444</v>
      </c>
      <c r="I3" s="335" t="s">
        <v>111</v>
      </c>
      <c r="J3" s="335" t="s">
        <v>1127</v>
      </c>
      <c r="K3" s="336" t="s">
        <v>971</v>
      </c>
      <c r="L3" s="336" t="s">
        <v>1128</v>
      </c>
      <c r="M3" s="335" t="s">
        <v>124</v>
      </c>
      <c r="N3" s="336" t="s">
        <v>1129</v>
      </c>
      <c r="O3" s="336" t="s">
        <v>1052</v>
      </c>
      <c r="P3" s="335" t="s">
        <v>1042</v>
      </c>
      <c r="Q3" s="336" t="s">
        <v>1130</v>
      </c>
      <c r="R3" s="336" t="s">
        <v>1131</v>
      </c>
      <c r="S3" s="336" t="s">
        <v>970</v>
      </c>
    </row>
    <row r="4" spans="1:19" ht="13.5" customHeight="1">
      <c r="A4" s="334" t="s">
        <v>439</v>
      </c>
      <c r="B4" s="334" t="s">
        <v>970</v>
      </c>
      <c r="C4" s="334" t="s">
        <v>1041</v>
      </c>
      <c r="D4" s="334" t="s">
        <v>91</v>
      </c>
      <c r="E4" s="334" t="s">
        <v>119</v>
      </c>
      <c r="F4" s="334" t="s">
        <v>90</v>
      </c>
      <c r="G4" s="334" t="s">
        <v>111</v>
      </c>
      <c r="H4" s="334" t="s">
        <v>430</v>
      </c>
      <c r="I4" s="335" t="s">
        <v>1132</v>
      </c>
      <c r="J4" s="335" t="s">
        <v>972</v>
      </c>
      <c r="K4" s="336" t="s">
        <v>1133</v>
      </c>
      <c r="L4" s="336" t="s">
        <v>978</v>
      </c>
      <c r="M4" s="335"/>
      <c r="N4" s="336" t="s">
        <v>1043</v>
      </c>
      <c r="O4" s="336" t="s">
        <v>1060</v>
      </c>
      <c r="P4" s="335" t="s">
        <v>1134</v>
      </c>
      <c r="Q4" s="338" t="s">
        <v>1053</v>
      </c>
      <c r="R4" s="336" t="s">
        <v>127</v>
      </c>
      <c r="S4" s="336" t="s">
        <v>1127</v>
      </c>
    </row>
    <row r="5" spans="1:19" ht="13.5" customHeight="1">
      <c r="A5" s="334" t="s">
        <v>444</v>
      </c>
      <c r="B5" s="334" t="s">
        <v>1126</v>
      </c>
      <c r="C5" s="334" t="s">
        <v>1129</v>
      </c>
      <c r="D5" s="334" t="s">
        <v>92</v>
      </c>
      <c r="E5" s="334" t="s">
        <v>87</v>
      </c>
      <c r="F5" s="334" t="s">
        <v>91</v>
      </c>
      <c r="G5" s="334" t="s">
        <v>112</v>
      </c>
      <c r="H5" s="335" t="s">
        <v>421</v>
      </c>
      <c r="I5" s="335" t="s">
        <v>112</v>
      </c>
      <c r="J5" s="335" t="s">
        <v>438</v>
      </c>
      <c r="K5" s="336" t="s">
        <v>1135</v>
      </c>
      <c r="L5" s="336" t="s">
        <v>979</v>
      </c>
      <c r="M5" s="336"/>
      <c r="N5" s="336" t="s">
        <v>1136</v>
      </c>
      <c r="O5" s="336"/>
      <c r="P5" s="335" t="s">
        <v>1044</v>
      </c>
      <c r="Q5" s="336" t="s">
        <v>1137</v>
      </c>
      <c r="R5" s="338" t="s">
        <v>1138</v>
      </c>
      <c r="S5" s="336" t="s">
        <v>1128</v>
      </c>
    </row>
    <row r="6" spans="1:19" ht="13.5" customHeight="1">
      <c r="A6" s="334" t="s">
        <v>87</v>
      </c>
      <c r="B6" s="334" t="s">
        <v>971</v>
      </c>
      <c r="C6" s="334" t="s">
        <v>1042</v>
      </c>
      <c r="D6" s="334" t="s">
        <v>96</v>
      </c>
      <c r="E6" s="334" t="s">
        <v>111</v>
      </c>
      <c r="F6" s="334" t="s">
        <v>92</v>
      </c>
      <c r="G6" s="334" t="s">
        <v>281</v>
      </c>
      <c r="H6" s="335" t="s">
        <v>423</v>
      </c>
      <c r="I6" s="335" t="s">
        <v>281</v>
      </c>
      <c r="J6" s="335" t="s">
        <v>427</v>
      </c>
      <c r="K6" s="336" t="s">
        <v>1139</v>
      </c>
      <c r="L6" s="336" t="s">
        <v>1140</v>
      </c>
      <c r="M6" s="335"/>
      <c r="N6" s="336" t="s">
        <v>1054</v>
      </c>
      <c r="O6" s="336"/>
      <c r="P6" s="335" t="s">
        <v>1141</v>
      </c>
      <c r="Q6" s="336" t="s">
        <v>1057</v>
      </c>
      <c r="R6" s="336" t="s">
        <v>1068</v>
      </c>
      <c r="S6" s="336" t="s">
        <v>1125</v>
      </c>
    </row>
    <row r="7" spans="1:19" ht="13.5" customHeight="1">
      <c r="A7" s="334" t="s">
        <v>430</v>
      </c>
      <c r="B7" s="334" t="s">
        <v>1142</v>
      </c>
      <c r="C7" s="334" t="s">
        <v>1134</v>
      </c>
      <c r="D7" s="334" t="s">
        <v>97</v>
      </c>
      <c r="E7" s="334" t="s">
        <v>90</v>
      </c>
      <c r="F7" s="334" t="s">
        <v>96</v>
      </c>
      <c r="G7" s="334" t="s">
        <v>120</v>
      </c>
      <c r="H7" s="335" t="s">
        <v>481</v>
      </c>
      <c r="I7" s="335" t="s">
        <v>984</v>
      </c>
      <c r="J7" s="335" t="s">
        <v>450</v>
      </c>
      <c r="K7" s="336" t="s">
        <v>1143</v>
      </c>
      <c r="L7" s="336" t="s">
        <v>1144</v>
      </c>
      <c r="M7" s="335"/>
      <c r="N7" s="336" t="s">
        <v>1059</v>
      </c>
      <c r="O7" s="336"/>
      <c r="P7" s="335" t="s">
        <v>241</v>
      </c>
      <c r="Q7" s="336" t="s">
        <v>1145</v>
      </c>
      <c r="S7" s="336" t="s">
        <v>241</v>
      </c>
    </row>
    <row r="8" spans="1:19" ht="13.5" customHeight="1">
      <c r="A8" s="334" t="s">
        <v>421</v>
      </c>
      <c r="B8" s="334" t="s">
        <v>1133</v>
      </c>
      <c r="C8" s="334" t="s">
        <v>1043</v>
      </c>
      <c r="D8" s="334" t="s">
        <v>99</v>
      </c>
      <c r="E8" s="334" t="s">
        <v>91</v>
      </c>
      <c r="F8" s="334" t="s">
        <v>283</v>
      </c>
      <c r="G8" s="334" t="s">
        <v>116</v>
      </c>
      <c r="H8" s="335" t="s">
        <v>90</v>
      </c>
      <c r="I8" s="335" t="s">
        <v>1146</v>
      </c>
      <c r="J8" s="335" t="s">
        <v>980</v>
      </c>
      <c r="K8" s="336" t="s">
        <v>1147</v>
      </c>
      <c r="L8" s="336" t="s">
        <v>981</v>
      </c>
      <c r="M8" s="335"/>
      <c r="N8" s="336" t="s">
        <v>242</v>
      </c>
      <c r="O8" s="336"/>
      <c r="P8" s="335" t="s">
        <v>1148</v>
      </c>
      <c r="Q8" s="336" t="s">
        <v>1064</v>
      </c>
      <c r="S8" s="336" t="s">
        <v>87</v>
      </c>
    </row>
    <row r="9" spans="1:19" ht="13.5" customHeight="1">
      <c r="A9" s="334" t="s">
        <v>919</v>
      </c>
      <c r="B9" s="334" t="s">
        <v>1127</v>
      </c>
      <c r="C9" s="334" t="s">
        <v>1044</v>
      </c>
      <c r="D9" s="334"/>
      <c r="E9" s="334" t="s">
        <v>112</v>
      </c>
      <c r="F9" s="334" t="s">
        <v>97</v>
      </c>
      <c r="G9" s="334" t="s">
        <v>123</v>
      </c>
      <c r="H9" s="335" t="s">
        <v>91</v>
      </c>
      <c r="I9" s="335" t="s">
        <v>1149</v>
      </c>
      <c r="J9" s="335" t="s">
        <v>1150</v>
      </c>
      <c r="K9" s="336" t="s">
        <v>119</v>
      </c>
      <c r="L9" s="336" t="s">
        <v>982</v>
      </c>
      <c r="M9" s="335"/>
      <c r="N9" s="336" t="s">
        <v>1062</v>
      </c>
      <c r="O9" s="336"/>
      <c r="P9" s="335" t="s">
        <v>1151</v>
      </c>
      <c r="Q9" s="336" t="s">
        <v>1065</v>
      </c>
      <c r="R9" s="336"/>
      <c r="S9" s="336" t="s">
        <v>1046</v>
      </c>
    </row>
    <row r="10" spans="1:19" ht="13.5" customHeight="1">
      <c r="A10" s="334" t="s">
        <v>451</v>
      </c>
      <c r="B10" s="334" t="s">
        <v>1128</v>
      </c>
      <c r="C10" s="334" t="s">
        <v>1141</v>
      </c>
      <c r="D10" s="335"/>
      <c r="E10" s="334" t="s">
        <v>281</v>
      </c>
      <c r="F10" s="334" t="s">
        <v>99</v>
      </c>
      <c r="G10" s="334" t="s">
        <v>124</v>
      </c>
      <c r="H10" s="335" t="s">
        <v>425</v>
      </c>
      <c r="I10" s="335" t="s">
        <v>1152</v>
      </c>
      <c r="J10" s="335" t="s">
        <v>1153</v>
      </c>
      <c r="K10" s="336" t="s">
        <v>973</v>
      </c>
      <c r="L10" s="336" t="s">
        <v>1154</v>
      </c>
      <c r="M10" s="335"/>
      <c r="N10" s="338" t="s">
        <v>1155</v>
      </c>
      <c r="O10" s="336"/>
      <c r="P10" s="335" t="s">
        <v>1156</v>
      </c>
      <c r="Q10" s="336" t="s">
        <v>1067</v>
      </c>
      <c r="R10" s="336"/>
      <c r="S10" s="336" t="s">
        <v>977</v>
      </c>
    </row>
    <row r="11" spans="1:19" ht="13.5" customHeight="1">
      <c r="A11" s="334" t="s">
        <v>423</v>
      </c>
      <c r="B11" s="334" t="s">
        <v>1139</v>
      </c>
      <c r="C11" s="334" t="s">
        <v>241</v>
      </c>
      <c r="D11" s="334"/>
      <c r="E11" s="334" t="s">
        <v>92</v>
      </c>
      <c r="F11" s="335"/>
      <c r="G11" s="334" t="s">
        <v>993</v>
      </c>
      <c r="H11" s="335" t="s">
        <v>429</v>
      </c>
      <c r="I11" s="335" t="s">
        <v>1157</v>
      </c>
      <c r="J11" s="335" t="s">
        <v>446</v>
      </c>
      <c r="K11" s="336" t="s">
        <v>480</v>
      </c>
      <c r="L11" s="336" t="s">
        <v>985</v>
      </c>
      <c r="M11" s="335"/>
      <c r="N11" s="336" t="s">
        <v>1138</v>
      </c>
      <c r="O11" s="336"/>
      <c r="P11" s="335" t="s">
        <v>1047</v>
      </c>
      <c r="Q11" s="336" t="s">
        <v>1068</v>
      </c>
      <c r="R11" s="336"/>
      <c r="S11" s="336" t="s">
        <v>1158</v>
      </c>
    </row>
    <row r="12" spans="1:19" ht="13.5" customHeight="1">
      <c r="A12" s="334" t="s">
        <v>481</v>
      </c>
      <c r="B12" s="334" t="s">
        <v>972</v>
      </c>
      <c r="C12" s="334" t="s">
        <v>1148</v>
      </c>
      <c r="D12" s="334"/>
      <c r="E12" s="334" t="s">
        <v>96</v>
      </c>
      <c r="F12" s="335"/>
      <c r="G12" s="335"/>
      <c r="H12" s="335" t="s">
        <v>92</v>
      </c>
      <c r="I12" s="335" t="s">
        <v>1159</v>
      </c>
      <c r="J12" s="335" t="s">
        <v>426</v>
      </c>
      <c r="K12" s="336" t="s">
        <v>1160</v>
      </c>
      <c r="L12" s="336" t="s">
        <v>986</v>
      </c>
      <c r="M12" s="335"/>
      <c r="N12" s="336" t="s">
        <v>128</v>
      </c>
      <c r="O12" s="336"/>
      <c r="P12" s="335" t="s">
        <v>1161</v>
      </c>
      <c r="Q12" s="336"/>
      <c r="R12" s="336"/>
      <c r="S12" s="336" t="s">
        <v>1162</v>
      </c>
    </row>
    <row r="13" spans="1:19" ht="13.5" customHeight="1">
      <c r="A13" s="334" t="s">
        <v>90</v>
      </c>
      <c r="B13" s="334" t="s">
        <v>1143</v>
      </c>
      <c r="C13" s="334" t="s">
        <v>1045</v>
      </c>
      <c r="D13" s="335"/>
      <c r="E13" s="334" t="s">
        <v>283</v>
      </c>
      <c r="F13" s="335"/>
      <c r="G13" s="335"/>
      <c r="H13" s="335" t="s">
        <v>442</v>
      </c>
      <c r="I13" s="335" t="s">
        <v>1163</v>
      </c>
      <c r="J13" s="335" t="s">
        <v>445</v>
      </c>
      <c r="K13" s="336" t="s">
        <v>1164</v>
      </c>
      <c r="L13" s="336" t="s">
        <v>987</v>
      </c>
      <c r="M13" s="335"/>
      <c r="N13" s="336"/>
      <c r="O13" s="336"/>
      <c r="P13" s="335" t="s">
        <v>1048</v>
      </c>
      <c r="Q13" s="336"/>
      <c r="R13" s="336"/>
      <c r="S13" s="336" t="s">
        <v>979</v>
      </c>
    </row>
    <row r="14" spans="1:19" ht="13.5" customHeight="1">
      <c r="A14" s="334" t="s">
        <v>91</v>
      </c>
      <c r="B14" s="334" t="s">
        <v>1147</v>
      </c>
      <c r="C14" s="334" t="s">
        <v>1046</v>
      </c>
      <c r="D14" s="335"/>
      <c r="E14" s="334" t="s">
        <v>120</v>
      </c>
      <c r="F14" s="335"/>
      <c r="G14" s="335"/>
      <c r="H14" s="334" t="s">
        <v>433</v>
      </c>
      <c r="I14" s="335" t="s">
        <v>989</v>
      </c>
      <c r="J14" s="335" t="s">
        <v>116</v>
      </c>
      <c r="K14" s="336" t="s">
        <v>975</v>
      </c>
      <c r="L14" s="336" t="s">
        <v>990</v>
      </c>
      <c r="M14" s="335"/>
      <c r="N14" s="336"/>
      <c r="O14" s="336"/>
      <c r="P14" s="335" t="s">
        <v>1165</v>
      </c>
      <c r="Q14" s="336"/>
      <c r="R14" s="336"/>
      <c r="S14" s="336" t="s">
        <v>1140</v>
      </c>
    </row>
    <row r="15" spans="1:19" ht="13.5" customHeight="1">
      <c r="A15" s="334" t="s">
        <v>425</v>
      </c>
      <c r="B15" s="334" t="s">
        <v>438</v>
      </c>
      <c r="C15" s="334" t="s">
        <v>1047</v>
      </c>
      <c r="D15" s="335"/>
      <c r="E15" s="334" t="s">
        <v>116</v>
      </c>
      <c r="F15" s="335"/>
      <c r="G15" s="335"/>
      <c r="H15" s="335" t="s">
        <v>440</v>
      </c>
      <c r="I15" s="335" t="s">
        <v>1166</v>
      </c>
      <c r="J15" s="335" t="s">
        <v>435</v>
      </c>
      <c r="K15" s="336" t="s">
        <v>977</v>
      </c>
      <c r="L15" s="336" t="s">
        <v>123</v>
      </c>
      <c r="M15" s="335"/>
      <c r="N15" s="336"/>
      <c r="O15" s="336"/>
      <c r="P15" s="335" t="s">
        <v>1049</v>
      </c>
      <c r="Q15" s="336"/>
      <c r="R15" s="336"/>
      <c r="S15" s="336" t="s">
        <v>980</v>
      </c>
    </row>
    <row r="16" spans="1:19" ht="13.5" customHeight="1">
      <c r="A16" s="334" t="s">
        <v>920</v>
      </c>
      <c r="B16" s="334" t="s">
        <v>1167</v>
      </c>
      <c r="C16" s="334" t="s">
        <v>1130</v>
      </c>
      <c r="D16" s="335"/>
      <c r="E16" s="334" t="s">
        <v>123</v>
      </c>
      <c r="F16" s="334"/>
      <c r="G16" s="335"/>
      <c r="H16" s="335" t="s">
        <v>437</v>
      </c>
      <c r="I16" s="335" t="s">
        <v>991</v>
      </c>
      <c r="J16" s="335" t="s">
        <v>993</v>
      </c>
      <c r="K16" s="336" t="s">
        <v>1168</v>
      </c>
      <c r="L16" s="336" t="s">
        <v>1169</v>
      </c>
      <c r="M16" s="335"/>
      <c r="N16" s="336"/>
      <c r="O16" s="336"/>
      <c r="P16" s="335" t="s">
        <v>1050</v>
      </c>
      <c r="Q16" s="336"/>
      <c r="R16" s="336"/>
      <c r="S16" s="336" t="s">
        <v>981</v>
      </c>
    </row>
    <row r="17" spans="1:19" ht="13.5" customHeight="1">
      <c r="A17" s="334" t="s">
        <v>921</v>
      </c>
      <c r="B17" s="334" t="s">
        <v>119</v>
      </c>
      <c r="C17" s="334" t="s">
        <v>1161</v>
      </c>
      <c r="D17" s="335"/>
      <c r="E17" s="334" t="s">
        <v>124</v>
      </c>
      <c r="F17" s="334"/>
      <c r="G17" s="335"/>
      <c r="H17" s="335" t="s">
        <v>448</v>
      </c>
      <c r="I17" s="335" t="s">
        <v>992</v>
      </c>
      <c r="J17" s="335" t="s">
        <v>994</v>
      </c>
      <c r="K17" s="336" t="s">
        <v>1170</v>
      </c>
      <c r="L17" s="336" t="s">
        <v>995</v>
      </c>
      <c r="M17" s="335"/>
      <c r="N17" s="336"/>
      <c r="O17" s="336"/>
      <c r="P17" s="335" t="s">
        <v>238</v>
      </c>
      <c r="Q17" s="336"/>
      <c r="R17" s="336"/>
      <c r="S17" s="336" t="s">
        <v>1154</v>
      </c>
    </row>
    <row r="18" spans="1:19" ht="13.5" customHeight="1">
      <c r="A18" s="334" t="s">
        <v>429</v>
      </c>
      <c r="B18" s="334" t="s">
        <v>1125</v>
      </c>
      <c r="C18" s="334" t="s">
        <v>1048</v>
      </c>
      <c r="D18" s="335"/>
      <c r="E18" s="334" t="s">
        <v>993</v>
      </c>
      <c r="F18" s="335"/>
      <c r="G18" s="335"/>
      <c r="H18" s="335" t="s">
        <v>443</v>
      </c>
      <c r="I18" s="335" t="s">
        <v>1171</v>
      </c>
      <c r="J18" s="335"/>
      <c r="K18" s="336" t="s">
        <v>1172</v>
      </c>
      <c r="L18" s="336"/>
      <c r="M18" s="335"/>
      <c r="N18" s="336"/>
      <c r="O18" s="336"/>
      <c r="P18" s="335" t="s">
        <v>126</v>
      </c>
      <c r="Q18" s="336"/>
      <c r="R18" s="336"/>
      <c r="S18" s="336" t="s">
        <v>127</v>
      </c>
    </row>
    <row r="19" spans="1:19" ht="13.5" customHeight="1">
      <c r="A19" s="334" t="s">
        <v>923</v>
      </c>
      <c r="B19" s="334" t="s">
        <v>427</v>
      </c>
      <c r="C19" s="334" t="s">
        <v>1165</v>
      </c>
      <c r="D19" s="334"/>
      <c r="E19" s="334" t="s">
        <v>97</v>
      </c>
      <c r="F19" s="334"/>
      <c r="G19" s="335"/>
      <c r="H19" s="334" t="s">
        <v>449</v>
      </c>
      <c r="I19" s="335" t="s">
        <v>1173</v>
      </c>
      <c r="J19" s="335"/>
      <c r="K19" s="336" t="s">
        <v>1174</v>
      </c>
      <c r="L19" s="336"/>
      <c r="M19" s="335"/>
      <c r="N19" s="336"/>
      <c r="O19" s="336"/>
      <c r="P19" s="335" t="s">
        <v>1175</v>
      </c>
      <c r="Q19" s="336"/>
      <c r="R19" s="336"/>
      <c r="S19" s="336" t="s">
        <v>431</v>
      </c>
    </row>
    <row r="20" spans="1:19" ht="13.5" customHeight="1">
      <c r="A20" s="334" t="s">
        <v>92</v>
      </c>
      <c r="B20" s="334" t="s">
        <v>1176</v>
      </c>
      <c r="C20" s="334" t="s">
        <v>1049</v>
      </c>
      <c r="D20" s="335"/>
      <c r="E20" s="334" t="s">
        <v>99</v>
      </c>
      <c r="F20" s="334"/>
      <c r="G20" s="335"/>
      <c r="H20" s="335" t="s">
        <v>432</v>
      </c>
      <c r="I20" s="335" t="s">
        <v>1177</v>
      </c>
      <c r="J20" s="335"/>
      <c r="K20" s="335" t="s">
        <v>1178</v>
      </c>
      <c r="L20" s="335"/>
      <c r="M20" s="335"/>
      <c r="N20" s="336"/>
      <c r="O20" s="336"/>
      <c r="P20" s="335" t="s">
        <v>1179</v>
      </c>
      <c r="Q20" s="336"/>
      <c r="R20" s="336"/>
      <c r="S20" s="336" t="s">
        <v>986</v>
      </c>
    </row>
    <row r="21" spans="1:19" ht="13.5" customHeight="1">
      <c r="A21" s="334" t="s">
        <v>96</v>
      </c>
      <c r="B21" s="334" t="s">
        <v>973</v>
      </c>
      <c r="C21" s="334" t="s">
        <v>1050</v>
      </c>
      <c r="D21" s="335"/>
      <c r="E21" s="335"/>
      <c r="F21" s="335"/>
      <c r="G21" s="335"/>
      <c r="H21" s="335" t="s">
        <v>94</v>
      </c>
      <c r="I21" s="335"/>
      <c r="J21" s="335"/>
      <c r="K21" s="335" t="s">
        <v>120</v>
      </c>
      <c r="L21" s="335"/>
      <c r="M21" s="335"/>
      <c r="N21" s="336"/>
      <c r="O21" s="336"/>
      <c r="P21" s="335" t="s">
        <v>1055</v>
      </c>
      <c r="Q21" s="336"/>
      <c r="R21" s="336"/>
      <c r="S21" s="336" t="s">
        <v>990</v>
      </c>
    </row>
    <row r="22" spans="1:19" ht="13.5" customHeight="1">
      <c r="A22" s="334" t="s">
        <v>283</v>
      </c>
      <c r="B22" s="334" t="s">
        <v>111</v>
      </c>
      <c r="C22" s="334" t="s">
        <v>238</v>
      </c>
      <c r="D22" s="335"/>
      <c r="E22" s="335"/>
      <c r="F22" s="335"/>
      <c r="G22" s="335"/>
      <c r="K22" s="338" t="s">
        <v>1180</v>
      </c>
      <c r="N22" s="336"/>
      <c r="O22" s="336"/>
      <c r="P22" s="335" t="s">
        <v>1056</v>
      </c>
      <c r="Q22" s="336"/>
      <c r="R22" s="336"/>
      <c r="S22" s="336" t="s">
        <v>115</v>
      </c>
    </row>
    <row r="23" spans="1:19" ht="13.5" customHeight="1">
      <c r="A23" s="334" t="s">
        <v>442</v>
      </c>
      <c r="B23" s="334" t="s">
        <v>480</v>
      </c>
      <c r="C23" s="334" t="s">
        <v>1051</v>
      </c>
      <c r="D23" s="335"/>
      <c r="E23" s="335"/>
      <c r="F23" s="335"/>
      <c r="G23" s="335"/>
      <c r="K23" s="338" t="s">
        <v>1181</v>
      </c>
      <c r="N23" s="336"/>
      <c r="O23" s="336"/>
      <c r="P23" s="335" t="s">
        <v>240</v>
      </c>
      <c r="Q23" s="336"/>
      <c r="R23" s="336"/>
      <c r="S23" s="336" t="s">
        <v>123</v>
      </c>
    </row>
    <row r="24" spans="1:19" ht="13.5" customHeight="1">
      <c r="A24" s="334" t="s">
        <v>433</v>
      </c>
      <c r="B24" s="334" t="s">
        <v>1160</v>
      </c>
      <c r="C24" s="334" t="s">
        <v>1052</v>
      </c>
      <c r="D24" s="335"/>
      <c r="E24" s="335"/>
      <c r="F24" s="335"/>
      <c r="G24" s="335"/>
      <c r="K24" s="338" t="s">
        <v>988</v>
      </c>
      <c r="N24" s="336"/>
      <c r="O24" s="336"/>
      <c r="P24" s="335" t="s">
        <v>1058</v>
      </c>
      <c r="Q24" s="336"/>
      <c r="R24" s="336"/>
      <c r="S24" s="336" t="s">
        <v>1138</v>
      </c>
    </row>
    <row r="25" spans="1:19" ht="13.5" customHeight="1">
      <c r="A25" s="334" t="s">
        <v>440</v>
      </c>
      <c r="B25" s="334" t="s">
        <v>1164</v>
      </c>
      <c r="C25" s="334" t="s">
        <v>126</v>
      </c>
      <c r="D25" s="334"/>
      <c r="E25" s="335"/>
      <c r="F25" s="335"/>
      <c r="G25" s="335"/>
      <c r="K25" s="338" t="s">
        <v>1182</v>
      </c>
      <c r="N25" s="336"/>
      <c r="O25" s="336"/>
      <c r="P25" s="335" t="s">
        <v>1061</v>
      </c>
      <c r="Q25" s="336"/>
      <c r="R25" s="336"/>
      <c r="S25" s="336" t="s">
        <v>1183</v>
      </c>
    </row>
    <row r="26" spans="1:19" ht="13.5" customHeight="1">
      <c r="A26" s="334" t="s">
        <v>1184</v>
      </c>
      <c r="B26" s="334" t="s">
        <v>975</v>
      </c>
      <c r="C26" s="334" t="s">
        <v>1136</v>
      </c>
      <c r="D26" s="335"/>
      <c r="E26" s="335"/>
      <c r="F26" s="335"/>
      <c r="G26" s="335"/>
      <c r="K26" s="338" t="s">
        <v>1185</v>
      </c>
      <c r="N26" s="336"/>
      <c r="O26" s="336"/>
      <c r="P26" s="335" t="s">
        <v>127</v>
      </c>
      <c r="Q26" s="336"/>
      <c r="R26" s="336"/>
      <c r="S26" s="336" t="s">
        <v>1186</v>
      </c>
    </row>
    <row r="27" spans="1:19" ht="13.5" customHeight="1">
      <c r="A27" s="334" t="s">
        <v>437</v>
      </c>
      <c r="B27" s="334" t="s">
        <v>977</v>
      </c>
      <c r="C27" s="334" t="s">
        <v>1053</v>
      </c>
      <c r="D27" s="335"/>
      <c r="E27" s="335"/>
      <c r="F27" s="335"/>
      <c r="G27" s="335"/>
      <c r="K27" s="338" t="s">
        <v>1187</v>
      </c>
      <c r="N27" s="336"/>
      <c r="O27" s="336"/>
      <c r="P27" s="335" t="s">
        <v>1063</v>
      </c>
      <c r="Q27" s="336"/>
      <c r="R27" s="336"/>
      <c r="S27" s="336" t="s">
        <v>995</v>
      </c>
    </row>
    <row r="28" spans="1:19" ht="13.5" customHeight="1">
      <c r="A28" s="334" t="s">
        <v>1188</v>
      </c>
      <c r="B28" s="334" t="s">
        <v>978</v>
      </c>
      <c r="C28" s="334" t="s">
        <v>1054</v>
      </c>
      <c r="D28" s="335"/>
      <c r="E28" s="335"/>
      <c r="F28" s="335"/>
      <c r="G28" s="335"/>
      <c r="K28" s="338" t="s">
        <v>1189</v>
      </c>
      <c r="N28" s="336"/>
      <c r="O28" s="336"/>
      <c r="P28" s="335" t="s">
        <v>1190</v>
      </c>
      <c r="Q28" s="336"/>
      <c r="R28" s="336"/>
      <c r="S28" s="336" t="s">
        <v>998</v>
      </c>
    </row>
    <row r="29" spans="1:19" ht="13.5" customHeight="1">
      <c r="A29" s="334" t="s">
        <v>924</v>
      </c>
      <c r="B29" s="334" t="s">
        <v>1168</v>
      </c>
      <c r="C29" s="334" t="s">
        <v>1175</v>
      </c>
      <c r="D29" s="335"/>
      <c r="E29" s="335"/>
      <c r="F29" s="335"/>
      <c r="G29" s="335"/>
      <c r="K29" s="338" t="s">
        <v>1183</v>
      </c>
      <c r="N29" s="336"/>
      <c r="O29" s="336"/>
      <c r="P29" s="335" t="s">
        <v>237</v>
      </c>
      <c r="Q29" s="336"/>
      <c r="R29" s="336"/>
      <c r="S29" s="336" t="s">
        <v>1068</v>
      </c>
    </row>
    <row r="30" spans="1:19" ht="13.5" customHeight="1">
      <c r="A30" s="334" t="s">
        <v>431</v>
      </c>
      <c r="B30" s="334" t="s">
        <v>1158</v>
      </c>
      <c r="C30" s="334" t="s">
        <v>1179</v>
      </c>
      <c r="D30" s="335"/>
      <c r="E30" s="335"/>
      <c r="F30" s="335"/>
      <c r="G30" s="335"/>
      <c r="K30" s="338" t="s">
        <v>997</v>
      </c>
      <c r="N30" s="336"/>
      <c r="O30" s="336"/>
      <c r="P30" s="335" t="s">
        <v>1191</v>
      </c>
      <c r="Q30" s="336"/>
      <c r="R30" s="336"/>
    </row>
    <row r="31" spans="1:19" ht="13.5" customHeight="1">
      <c r="A31" s="334" t="s">
        <v>443</v>
      </c>
      <c r="B31" s="334" t="s">
        <v>1192</v>
      </c>
      <c r="C31" s="334" t="s">
        <v>1055</v>
      </c>
      <c r="D31" s="334"/>
      <c r="E31" s="335"/>
      <c r="F31" s="335"/>
      <c r="G31" s="335"/>
      <c r="K31" s="338" t="s">
        <v>998</v>
      </c>
      <c r="N31" s="336"/>
      <c r="O31" s="336"/>
      <c r="P31" s="335" t="s">
        <v>1193</v>
      </c>
      <c r="Q31" s="336"/>
      <c r="R31" s="336"/>
    </row>
    <row r="32" spans="1:19" ht="13.5" customHeight="1">
      <c r="A32" s="334" t="s">
        <v>1194</v>
      </c>
      <c r="B32" s="334" t="s">
        <v>1132</v>
      </c>
      <c r="C32" s="334" t="s">
        <v>1056</v>
      </c>
      <c r="D32" s="335"/>
      <c r="E32" s="335"/>
      <c r="F32" s="335"/>
      <c r="G32" s="335"/>
      <c r="N32" s="336"/>
      <c r="O32" s="336"/>
      <c r="P32" s="335" t="s">
        <v>1066</v>
      </c>
      <c r="Q32" s="336"/>
      <c r="R32" s="336"/>
    </row>
    <row r="33" spans="1:19" ht="13.5" customHeight="1">
      <c r="A33" s="334" t="s">
        <v>1195</v>
      </c>
      <c r="B33" s="334" t="s">
        <v>1162</v>
      </c>
      <c r="C33" s="334" t="s">
        <v>240</v>
      </c>
      <c r="D33" s="335"/>
      <c r="E33" s="335"/>
      <c r="F33" s="335"/>
      <c r="G33" s="335"/>
      <c r="N33" s="336"/>
      <c r="O33" s="336"/>
      <c r="P33" s="335" t="s">
        <v>1196</v>
      </c>
      <c r="Q33" s="336"/>
      <c r="R33" s="336"/>
    </row>
    <row r="34" spans="1:19" ht="13.5" customHeight="1">
      <c r="A34" s="334" t="s">
        <v>925</v>
      </c>
      <c r="B34" s="334" t="s">
        <v>1197</v>
      </c>
      <c r="C34" s="334" t="s">
        <v>1137</v>
      </c>
      <c r="D34" s="335"/>
      <c r="E34" s="335"/>
      <c r="F34" s="335"/>
      <c r="G34" s="335"/>
      <c r="N34" s="336"/>
      <c r="O34" s="336"/>
      <c r="P34" s="335" t="s">
        <v>243</v>
      </c>
      <c r="Q34" s="336"/>
      <c r="R34" s="336"/>
    </row>
    <row r="35" spans="1:19" ht="13.5" customHeight="1">
      <c r="A35" s="334" t="s">
        <v>449</v>
      </c>
      <c r="B35" s="334" t="s">
        <v>1170</v>
      </c>
      <c r="C35" s="334" t="s">
        <v>1057</v>
      </c>
      <c r="D35" s="335"/>
      <c r="E35" s="335"/>
      <c r="F35" s="335"/>
      <c r="G35" s="335"/>
      <c r="N35" s="336"/>
      <c r="O35" s="336"/>
      <c r="P35" s="335" t="s">
        <v>1069</v>
      </c>
      <c r="Q35" s="336"/>
      <c r="R35" s="336"/>
      <c r="S35" s="336"/>
    </row>
    <row r="36" spans="1:19" ht="13.5" customHeight="1">
      <c r="A36" s="334" t="s">
        <v>432</v>
      </c>
      <c r="B36" s="334" t="s">
        <v>1172</v>
      </c>
      <c r="C36" s="334" t="s">
        <v>1058</v>
      </c>
      <c r="D36" s="335"/>
      <c r="E36" s="335"/>
      <c r="F36" s="335"/>
      <c r="G36" s="335"/>
      <c r="P36" s="338" t="s">
        <v>1070</v>
      </c>
    </row>
    <row r="37" spans="1:19" ht="13.5" customHeight="1">
      <c r="A37" s="334" t="s">
        <v>94</v>
      </c>
      <c r="B37" s="334" t="s">
        <v>1174</v>
      </c>
      <c r="C37" s="334" t="s">
        <v>1059</v>
      </c>
      <c r="D37" s="335"/>
      <c r="E37" s="335"/>
      <c r="F37" s="335"/>
      <c r="G37" s="335"/>
    </row>
    <row r="38" spans="1:19" ht="13.5" customHeight="1">
      <c r="A38" s="334" t="s">
        <v>422</v>
      </c>
      <c r="B38" s="334" t="s">
        <v>450</v>
      </c>
      <c r="C38" s="334" t="s">
        <v>242</v>
      </c>
      <c r="D38" s="335"/>
      <c r="E38" s="335"/>
      <c r="F38" s="335"/>
      <c r="G38" s="335"/>
    </row>
    <row r="39" spans="1:19" ht="13.5" customHeight="1">
      <c r="A39" s="335" t="s">
        <v>926</v>
      </c>
      <c r="B39" s="334" t="s">
        <v>112</v>
      </c>
      <c r="C39" s="334" t="s">
        <v>1060</v>
      </c>
      <c r="D39" s="335"/>
      <c r="E39" s="335"/>
      <c r="F39" s="335"/>
      <c r="G39" s="335"/>
    </row>
    <row r="40" spans="1:19" ht="13.5" customHeight="1">
      <c r="A40" s="335" t="s">
        <v>1198</v>
      </c>
      <c r="B40" s="334" t="s">
        <v>281</v>
      </c>
      <c r="C40" s="334" t="s">
        <v>1061</v>
      </c>
      <c r="D40" s="335"/>
      <c r="E40" s="335"/>
      <c r="F40" s="335"/>
      <c r="G40" s="335"/>
    </row>
    <row r="41" spans="1:19" ht="13.5" customHeight="1">
      <c r="A41" s="335" t="s">
        <v>97</v>
      </c>
      <c r="B41" s="334" t="s">
        <v>979</v>
      </c>
      <c r="C41" s="334" t="s">
        <v>127</v>
      </c>
      <c r="D41" s="335"/>
      <c r="E41" s="335"/>
      <c r="F41" s="335"/>
      <c r="G41" s="335"/>
    </row>
    <row r="42" spans="1:19" ht="13.5" customHeight="1">
      <c r="A42" s="335" t="s">
        <v>99</v>
      </c>
      <c r="B42" s="334" t="s">
        <v>1140</v>
      </c>
      <c r="C42" s="334" t="s">
        <v>1062</v>
      </c>
      <c r="D42" s="335"/>
      <c r="E42" s="335"/>
      <c r="F42" s="335"/>
      <c r="G42" s="335"/>
    </row>
    <row r="43" spans="1:19" ht="13.5" customHeight="1">
      <c r="A43" s="335"/>
      <c r="B43" s="334" t="s">
        <v>1178</v>
      </c>
      <c r="C43" s="334" t="s">
        <v>1063</v>
      </c>
      <c r="D43" s="335"/>
      <c r="E43" s="335"/>
      <c r="F43" s="335"/>
      <c r="G43" s="335"/>
    </row>
    <row r="44" spans="1:19" ht="13.5" customHeight="1">
      <c r="A44" s="335"/>
      <c r="B44" s="334" t="s">
        <v>1144</v>
      </c>
      <c r="C44" s="334" t="s">
        <v>1190</v>
      </c>
      <c r="D44" s="335"/>
      <c r="E44" s="335"/>
      <c r="F44" s="335"/>
      <c r="G44" s="335"/>
    </row>
    <row r="45" spans="1:19" ht="13.5" customHeight="1">
      <c r="A45" s="335"/>
      <c r="B45" s="334" t="s">
        <v>980</v>
      </c>
      <c r="C45" s="334" t="s">
        <v>237</v>
      </c>
      <c r="D45" s="335"/>
      <c r="E45" s="335"/>
      <c r="F45" s="335"/>
      <c r="G45" s="335"/>
    </row>
    <row r="46" spans="1:19" ht="13.5" customHeight="1">
      <c r="A46" s="335"/>
      <c r="B46" s="334" t="s">
        <v>1150</v>
      </c>
      <c r="C46" s="334" t="s">
        <v>1191</v>
      </c>
      <c r="D46" s="335"/>
      <c r="E46" s="335"/>
      <c r="F46" s="335"/>
      <c r="G46" s="335"/>
    </row>
    <row r="47" spans="1:19" ht="13.5" customHeight="1">
      <c r="A47" s="335"/>
      <c r="B47" s="334" t="s">
        <v>981</v>
      </c>
      <c r="C47" s="334" t="s">
        <v>1155</v>
      </c>
      <c r="D47" s="335"/>
      <c r="E47" s="335"/>
      <c r="F47" s="335"/>
      <c r="G47" s="335"/>
    </row>
    <row r="48" spans="1:19" ht="13.5" customHeight="1">
      <c r="A48" s="335"/>
      <c r="B48" s="334" t="s">
        <v>982</v>
      </c>
      <c r="C48" s="334" t="s">
        <v>1193</v>
      </c>
      <c r="D48" s="335"/>
      <c r="E48" s="335"/>
      <c r="F48" s="335"/>
      <c r="G48" s="335"/>
    </row>
    <row r="49" spans="1:7" ht="13.5" customHeight="1">
      <c r="A49" s="335"/>
      <c r="B49" s="334" t="s">
        <v>1154</v>
      </c>
      <c r="C49" s="334" t="s">
        <v>1145</v>
      </c>
      <c r="D49" s="335"/>
      <c r="E49" s="335"/>
      <c r="F49" s="335"/>
      <c r="G49" s="335"/>
    </row>
    <row r="50" spans="1:7" ht="13.5" customHeight="1">
      <c r="A50" s="335"/>
      <c r="B50" s="334" t="s">
        <v>984</v>
      </c>
      <c r="C50" s="334" t="s">
        <v>1064</v>
      </c>
      <c r="D50" s="335"/>
      <c r="E50" s="335"/>
      <c r="F50" s="335"/>
      <c r="G50" s="335"/>
    </row>
    <row r="51" spans="1:7" ht="13.5" customHeight="1">
      <c r="A51" s="335"/>
      <c r="B51" s="334" t="s">
        <v>1146</v>
      </c>
      <c r="C51" s="334" t="s">
        <v>1065</v>
      </c>
      <c r="D51" s="335"/>
      <c r="E51" s="335"/>
      <c r="F51" s="335"/>
      <c r="G51" s="335"/>
    </row>
    <row r="52" spans="1:7" ht="13.5" customHeight="1">
      <c r="A52" s="335"/>
      <c r="B52" s="334" t="s">
        <v>1149</v>
      </c>
      <c r="C52" s="334" t="s">
        <v>1066</v>
      </c>
      <c r="D52" s="335"/>
      <c r="E52" s="335"/>
      <c r="F52" s="335"/>
      <c r="G52" s="335"/>
    </row>
    <row r="53" spans="1:7" ht="13.5" customHeight="1">
      <c r="A53" s="335"/>
      <c r="B53" s="334" t="s">
        <v>1199</v>
      </c>
      <c r="C53" s="334" t="s">
        <v>1138</v>
      </c>
      <c r="D53" s="335"/>
      <c r="E53" s="335"/>
      <c r="F53" s="335"/>
      <c r="G53" s="335"/>
    </row>
    <row r="54" spans="1:7" ht="13.5" customHeight="1">
      <c r="A54" s="335"/>
      <c r="B54" s="334" t="s">
        <v>120</v>
      </c>
      <c r="C54" s="334" t="s">
        <v>1196</v>
      </c>
      <c r="D54" s="335"/>
      <c r="E54" s="335"/>
      <c r="F54" s="335"/>
      <c r="G54" s="335"/>
    </row>
    <row r="55" spans="1:7" ht="13.5" customHeight="1">
      <c r="A55" s="335"/>
      <c r="B55" s="334" t="s">
        <v>1152</v>
      </c>
      <c r="C55" s="334" t="s">
        <v>243</v>
      </c>
      <c r="D55" s="335"/>
      <c r="E55" s="335"/>
      <c r="F55" s="335"/>
      <c r="G55" s="335"/>
    </row>
    <row r="56" spans="1:7" ht="13.5" customHeight="1">
      <c r="A56" s="335"/>
      <c r="B56" s="334" t="s">
        <v>1157</v>
      </c>
      <c r="C56" s="334" t="s">
        <v>1067</v>
      </c>
      <c r="D56" s="335"/>
      <c r="E56" s="335"/>
      <c r="F56" s="335"/>
      <c r="G56" s="335"/>
    </row>
    <row r="57" spans="1:7" ht="13.5" customHeight="1">
      <c r="A57" s="335"/>
      <c r="B57" s="334" t="s">
        <v>1153</v>
      </c>
      <c r="C57" s="334" t="s">
        <v>128</v>
      </c>
      <c r="D57" s="335"/>
      <c r="E57" s="335"/>
      <c r="F57" s="335"/>
      <c r="G57" s="335"/>
    </row>
    <row r="58" spans="1:7" ht="13.5" customHeight="1">
      <c r="A58" s="335"/>
      <c r="B58" s="334" t="s">
        <v>985</v>
      </c>
      <c r="C58" s="334" t="s">
        <v>1068</v>
      </c>
      <c r="D58" s="335"/>
      <c r="E58" s="335"/>
      <c r="F58" s="335"/>
      <c r="G58" s="335"/>
    </row>
    <row r="59" spans="1:7" ht="13.5" customHeight="1">
      <c r="A59" s="335"/>
      <c r="B59" s="334" t="s">
        <v>1200</v>
      </c>
      <c r="C59" s="334" t="s">
        <v>1069</v>
      </c>
      <c r="D59" s="335"/>
      <c r="E59" s="335"/>
      <c r="F59" s="335"/>
      <c r="G59" s="335"/>
    </row>
    <row r="60" spans="1:7" ht="13.5" customHeight="1">
      <c r="A60" s="335"/>
      <c r="B60" s="334" t="s">
        <v>1159</v>
      </c>
      <c r="C60" s="334" t="s">
        <v>1070</v>
      </c>
      <c r="D60" s="335"/>
      <c r="E60" s="335"/>
      <c r="F60" s="335"/>
      <c r="G60" s="335"/>
    </row>
    <row r="61" spans="1:7" ht="13.5" customHeight="1">
      <c r="A61" s="335"/>
      <c r="B61" s="334" t="s">
        <v>446</v>
      </c>
      <c r="C61" s="334"/>
      <c r="D61" s="335"/>
      <c r="E61" s="335"/>
      <c r="F61" s="335"/>
      <c r="G61" s="335"/>
    </row>
    <row r="62" spans="1:7" ht="13.5" customHeight="1">
      <c r="A62" s="335"/>
      <c r="B62" s="334" t="s">
        <v>986</v>
      </c>
      <c r="C62" s="334"/>
      <c r="D62" s="335"/>
      <c r="E62" s="335"/>
      <c r="F62" s="335"/>
      <c r="G62" s="335"/>
    </row>
    <row r="63" spans="1:7" ht="13.5" customHeight="1">
      <c r="A63" s="335"/>
      <c r="B63" s="334" t="s">
        <v>987</v>
      </c>
      <c r="C63" s="334"/>
      <c r="D63" s="335"/>
      <c r="E63" s="335"/>
      <c r="F63" s="335"/>
      <c r="G63" s="335"/>
    </row>
    <row r="64" spans="1:7" ht="13.5" customHeight="1">
      <c r="A64" s="335"/>
      <c r="B64" s="334" t="s">
        <v>1163</v>
      </c>
      <c r="C64" s="334"/>
      <c r="D64" s="335"/>
      <c r="E64" s="335"/>
      <c r="F64" s="335"/>
      <c r="G64" s="335"/>
    </row>
    <row r="65" spans="1:7" ht="13.5" customHeight="1">
      <c r="A65" s="335"/>
      <c r="B65" s="334" t="s">
        <v>1180</v>
      </c>
      <c r="C65" s="334"/>
      <c r="D65" s="335"/>
      <c r="E65" s="335"/>
      <c r="F65" s="335"/>
      <c r="G65" s="335"/>
    </row>
    <row r="66" spans="1:7" ht="13.5" customHeight="1">
      <c r="A66" s="335"/>
      <c r="B66" s="334" t="s">
        <v>1181</v>
      </c>
      <c r="C66" s="334"/>
      <c r="D66" s="335"/>
      <c r="E66" s="335"/>
      <c r="F66" s="335"/>
      <c r="G66" s="335"/>
    </row>
    <row r="67" spans="1:7" ht="13.5" customHeight="1">
      <c r="A67" s="335"/>
      <c r="B67" s="334" t="s">
        <v>988</v>
      </c>
      <c r="C67" s="334"/>
      <c r="D67" s="335"/>
      <c r="E67" s="335"/>
      <c r="F67" s="335"/>
      <c r="G67" s="335"/>
    </row>
    <row r="68" spans="1:7" ht="13.5" customHeight="1">
      <c r="A68" s="335"/>
      <c r="B68" s="334" t="s">
        <v>989</v>
      </c>
      <c r="C68" s="334"/>
      <c r="D68" s="335"/>
      <c r="E68" s="335"/>
      <c r="F68" s="335"/>
      <c r="G68" s="335"/>
    </row>
    <row r="69" spans="1:7" ht="13.5" customHeight="1">
      <c r="A69" s="335"/>
      <c r="B69" s="334" t="s">
        <v>426</v>
      </c>
      <c r="C69" s="334"/>
      <c r="D69" s="335"/>
      <c r="E69" s="335"/>
      <c r="F69" s="335"/>
      <c r="G69" s="335"/>
    </row>
    <row r="70" spans="1:7" ht="13.5" customHeight="1">
      <c r="A70" s="335"/>
      <c r="B70" s="334" t="s">
        <v>990</v>
      </c>
      <c r="C70" s="334"/>
      <c r="D70" s="335"/>
      <c r="E70" s="335"/>
      <c r="F70" s="335"/>
      <c r="G70" s="335"/>
    </row>
    <row r="71" spans="1:7" ht="13.5" customHeight="1">
      <c r="A71" s="335"/>
      <c r="B71" s="334" t="s">
        <v>445</v>
      </c>
      <c r="C71" s="334"/>
      <c r="D71" s="335"/>
      <c r="E71" s="335"/>
      <c r="F71" s="335"/>
      <c r="G71" s="335"/>
    </row>
    <row r="72" spans="1:7" ht="13.5" customHeight="1">
      <c r="A72" s="335"/>
      <c r="B72" s="334" t="s">
        <v>116</v>
      </c>
      <c r="C72" s="334"/>
      <c r="D72" s="335"/>
      <c r="E72" s="335"/>
      <c r="F72" s="335"/>
      <c r="G72" s="335"/>
    </row>
    <row r="73" spans="1:7" ht="13.5" customHeight="1">
      <c r="A73" s="335"/>
      <c r="B73" s="334" t="s">
        <v>1166</v>
      </c>
      <c r="C73" s="334"/>
      <c r="D73" s="335"/>
      <c r="E73" s="335"/>
      <c r="F73" s="335"/>
      <c r="G73" s="335"/>
    </row>
    <row r="74" spans="1:7" ht="13.5" customHeight="1">
      <c r="A74" s="335"/>
      <c r="B74" s="334" t="s">
        <v>123</v>
      </c>
      <c r="C74" s="334"/>
      <c r="D74" s="335"/>
      <c r="E74" s="335"/>
      <c r="F74" s="335"/>
      <c r="G74" s="335"/>
    </row>
    <row r="75" spans="1:7" ht="13.5" customHeight="1">
      <c r="A75" s="335"/>
      <c r="B75" s="334" t="s">
        <v>435</v>
      </c>
      <c r="C75" s="334"/>
      <c r="D75" s="335"/>
      <c r="E75" s="335"/>
      <c r="F75" s="335"/>
      <c r="G75" s="335"/>
    </row>
    <row r="76" spans="1:7" ht="13.5" customHeight="1">
      <c r="A76" s="335"/>
      <c r="B76" s="334" t="s">
        <v>1201</v>
      </c>
      <c r="C76" s="334"/>
      <c r="D76" s="335"/>
      <c r="E76" s="335"/>
      <c r="F76" s="335"/>
      <c r="G76" s="335"/>
    </row>
    <row r="77" spans="1:7" ht="13.5" customHeight="1">
      <c r="A77" s="335"/>
      <c r="B77" s="334" t="s">
        <v>124</v>
      </c>
      <c r="C77" s="334"/>
      <c r="D77" s="335"/>
      <c r="E77" s="335"/>
      <c r="F77" s="335"/>
      <c r="G77" s="335"/>
    </row>
    <row r="78" spans="1:7" ht="13.5" customHeight="1">
      <c r="A78" s="335"/>
      <c r="B78" s="334" t="s">
        <v>991</v>
      </c>
      <c r="C78" s="334"/>
      <c r="D78" s="335"/>
      <c r="E78" s="335"/>
      <c r="F78" s="335"/>
      <c r="G78" s="335"/>
    </row>
    <row r="79" spans="1:7" ht="13.5" customHeight="1">
      <c r="A79" s="335"/>
      <c r="B79" s="334" t="s">
        <v>1182</v>
      </c>
      <c r="C79" s="334"/>
      <c r="D79" s="335"/>
      <c r="E79" s="335"/>
      <c r="F79" s="335"/>
      <c r="G79" s="335"/>
    </row>
    <row r="80" spans="1:7" ht="13.5" customHeight="1">
      <c r="A80" s="335"/>
      <c r="B80" s="334" t="s">
        <v>1185</v>
      </c>
      <c r="C80" s="334"/>
      <c r="D80" s="335"/>
      <c r="E80" s="335"/>
      <c r="F80" s="335"/>
      <c r="G80" s="335"/>
    </row>
    <row r="81" spans="1:19" ht="13.5" customHeight="1">
      <c r="A81" s="335"/>
      <c r="B81" s="334" t="s">
        <v>1187</v>
      </c>
      <c r="C81" s="334"/>
      <c r="D81" s="335"/>
      <c r="E81" s="335"/>
      <c r="F81" s="335"/>
      <c r="G81" s="335"/>
    </row>
    <row r="82" spans="1:19" ht="13.5" customHeight="1">
      <c r="A82" s="335"/>
      <c r="B82" s="334" t="s">
        <v>1189</v>
      </c>
      <c r="C82" s="334"/>
      <c r="D82" s="335"/>
      <c r="E82" s="335"/>
      <c r="F82" s="335"/>
      <c r="G82" s="335"/>
    </row>
    <row r="83" spans="1:19" ht="13.5" customHeight="1">
      <c r="A83" s="335"/>
      <c r="B83" s="334" t="s">
        <v>992</v>
      </c>
      <c r="C83" s="334"/>
      <c r="D83" s="335"/>
      <c r="E83" s="335"/>
      <c r="F83" s="335"/>
      <c r="G83" s="335"/>
    </row>
    <row r="84" spans="1:19" ht="13.5" customHeight="1">
      <c r="A84" s="335"/>
      <c r="B84" s="334" t="s">
        <v>1135</v>
      </c>
      <c r="C84" s="334"/>
      <c r="D84" s="335"/>
      <c r="E84" s="335"/>
      <c r="F84" s="335"/>
      <c r="G84" s="335"/>
    </row>
    <row r="85" spans="1:19" ht="13.5" customHeight="1">
      <c r="A85" s="335"/>
      <c r="B85" s="334" t="s">
        <v>1171</v>
      </c>
      <c r="C85" s="334"/>
      <c r="D85" s="335"/>
      <c r="E85" s="335"/>
      <c r="F85" s="335"/>
      <c r="G85" s="335"/>
    </row>
    <row r="86" spans="1:19" ht="13.5" customHeight="1">
      <c r="A86" s="335"/>
      <c r="B86" s="334" t="s">
        <v>1183</v>
      </c>
      <c r="C86" s="334"/>
      <c r="D86" s="335"/>
      <c r="E86" s="335"/>
      <c r="F86" s="335"/>
      <c r="G86" s="335"/>
    </row>
    <row r="87" spans="1:19" ht="13.5" customHeight="1">
      <c r="A87" s="335"/>
      <c r="B87" s="334" t="s">
        <v>1169</v>
      </c>
      <c r="C87" s="334"/>
      <c r="D87" s="335"/>
      <c r="E87" s="335"/>
      <c r="F87" s="335"/>
      <c r="G87" s="335"/>
    </row>
    <row r="88" spans="1:19" ht="13.5" customHeight="1">
      <c r="A88" s="335"/>
      <c r="B88" s="334" t="s">
        <v>993</v>
      </c>
      <c r="C88" s="334"/>
      <c r="D88" s="335"/>
      <c r="E88" s="335"/>
      <c r="F88" s="335"/>
      <c r="G88" s="335"/>
    </row>
    <row r="89" spans="1:19" ht="13.5" customHeight="1">
      <c r="A89" s="335"/>
      <c r="B89" s="334" t="s">
        <v>1186</v>
      </c>
      <c r="C89" s="334"/>
      <c r="D89" s="335"/>
      <c r="E89" s="335"/>
      <c r="F89" s="335"/>
      <c r="G89" s="335"/>
    </row>
    <row r="90" spans="1:19" ht="13.5" customHeight="1">
      <c r="A90" s="335"/>
      <c r="B90" s="334" t="s">
        <v>1173</v>
      </c>
      <c r="C90" s="334"/>
      <c r="D90" s="335"/>
      <c r="E90" s="335"/>
      <c r="F90" s="335"/>
      <c r="G90" s="335"/>
    </row>
    <row r="91" spans="1:19" ht="13.5" customHeight="1">
      <c r="A91" s="335"/>
      <c r="B91" s="334" t="s">
        <v>994</v>
      </c>
      <c r="C91" s="334"/>
      <c r="D91" s="335"/>
      <c r="E91" s="335"/>
      <c r="F91" s="335"/>
      <c r="G91" s="335"/>
    </row>
    <row r="92" spans="1:19" ht="13.5" customHeight="1">
      <c r="A92" s="335"/>
      <c r="B92" s="334" t="s">
        <v>995</v>
      </c>
      <c r="C92" s="334"/>
      <c r="D92" s="335"/>
      <c r="E92" s="335"/>
      <c r="F92" s="335"/>
      <c r="G92" s="335"/>
    </row>
    <row r="93" spans="1:19" ht="13.5" customHeight="1">
      <c r="A93" s="335"/>
      <c r="B93" s="334" t="s">
        <v>997</v>
      </c>
      <c r="C93" s="334"/>
      <c r="D93" s="335"/>
      <c r="E93" s="335"/>
      <c r="F93" s="335"/>
      <c r="G93" s="335"/>
    </row>
    <row r="94" spans="1:19" ht="13.5" customHeight="1">
      <c r="A94" s="335"/>
      <c r="B94" s="334" t="s">
        <v>1177</v>
      </c>
      <c r="C94" s="334"/>
      <c r="D94" s="335"/>
      <c r="E94" s="335"/>
      <c r="F94" s="335"/>
      <c r="G94" s="335"/>
    </row>
    <row r="95" spans="1:19" ht="13.5" customHeight="1">
      <c r="A95" s="335"/>
      <c r="B95" s="334" t="s">
        <v>998</v>
      </c>
      <c r="C95" s="334"/>
      <c r="D95" s="335"/>
      <c r="E95" s="335"/>
      <c r="F95" s="335"/>
      <c r="G95" s="335"/>
    </row>
    <row r="96" spans="1:19" ht="13.5" customHeight="1">
      <c r="A96" s="339"/>
      <c r="B96" s="340" t="s">
        <v>1202</v>
      </c>
      <c r="C96" s="341"/>
      <c r="D96" s="339"/>
      <c r="E96" s="339"/>
      <c r="F96" s="339"/>
      <c r="G96" s="339"/>
      <c r="H96" s="340"/>
      <c r="I96" s="340"/>
      <c r="J96" s="340"/>
      <c r="K96" s="340"/>
      <c r="L96" s="340"/>
      <c r="M96" s="340"/>
      <c r="N96" s="340"/>
      <c r="O96" s="340"/>
      <c r="P96" s="340"/>
      <c r="Q96" s="340"/>
      <c r="R96" s="340"/>
      <c r="S96" s="340"/>
    </row>
    <row r="97" spans="1:16" ht="13.5" customHeight="1">
      <c r="A97" s="342" t="s">
        <v>1203</v>
      </c>
      <c r="B97" s="343"/>
      <c r="C97" s="334"/>
      <c r="D97" s="335"/>
      <c r="E97" s="335"/>
      <c r="F97" s="335"/>
      <c r="G97" s="335"/>
    </row>
    <row r="98" spans="1:16" ht="13.5" customHeight="1">
      <c r="A98" s="344" t="s">
        <v>1204</v>
      </c>
      <c r="C98" s="334"/>
      <c r="D98" s="335"/>
      <c r="E98" s="335"/>
      <c r="F98" s="335"/>
      <c r="G98" s="335"/>
    </row>
    <row r="99" spans="1:16">
      <c r="C99" s="344"/>
      <c r="D99" s="344"/>
      <c r="E99" s="344"/>
      <c r="F99" s="344"/>
      <c r="G99" s="344"/>
      <c r="H99" s="344"/>
      <c r="I99" s="344"/>
      <c r="J99" s="344"/>
      <c r="K99" s="344"/>
      <c r="L99" s="344"/>
      <c r="M99" s="344"/>
      <c r="N99" s="344"/>
      <c r="O99" s="344"/>
      <c r="P99" s="344"/>
    </row>
    <row r="100" spans="1:16" ht="12.75" customHeight="1">
      <c r="D100" s="334"/>
    </row>
    <row r="101" spans="1:16">
      <c r="D101" s="335"/>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92210-8F5B-41A3-B93C-9D97648717DE}">
  <dimension ref="A2:AN50"/>
  <sheetViews>
    <sheetView showGridLines="0" zoomScaleNormal="100" workbookViewId="0">
      <pane xSplit="5" ySplit="7" topLeftCell="F8" activePane="bottomRight" state="frozen"/>
      <selection pane="bottomRight"/>
      <selection pane="bottomLeft" activeCell="B88" sqref="B88:K88"/>
      <selection pane="topRight" activeCell="B88" sqref="B88:K88"/>
    </sheetView>
  </sheetViews>
  <sheetFormatPr defaultColWidth="9.140625" defaultRowHeight="14.25"/>
  <cols>
    <col min="1" max="1" width="9.42578125" style="345" hidden="1" customWidth="1"/>
    <col min="2" max="2" width="10" style="345" hidden="1" customWidth="1"/>
    <col min="3" max="3" width="1.7109375" style="346" hidden="1" customWidth="1"/>
    <col min="4" max="4" width="8.28515625" style="346" customWidth="1"/>
    <col min="5" max="5" width="22.7109375" style="348" customWidth="1"/>
    <col min="6" max="6" width="11.7109375" style="348" customWidth="1"/>
    <col min="7" max="7" width="20" style="348" bestFit="1" customWidth="1"/>
    <col min="8" max="8" width="1" style="348" customWidth="1"/>
    <col min="9" max="9" width="11.5703125" style="348" bestFit="1" customWidth="1"/>
    <col min="10" max="10" width="2.7109375" style="348" customWidth="1"/>
    <col min="11" max="11" width="11.7109375" style="348" customWidth="1"/>
    <col min="12" max="12" width="20" style="348" bestFit="1" customWidth="1"/>
    <col min="13" max="13" width="1" style="348" customWidth="1"/>
    <col min="14" max="14" width="11.5703125" style="349" bestFit="1" customWidth="1"/>
    <col min="15" max="15" width="2.7109375" style="348" customWidth="1"/>
    <col min="16" max="16" width="11.7109375" style="349" customWidth="1"/>
    <col min="17" max="17" width="20" style="349" bestFit="1" customWidth="1"/>
    <col min="18" max="18" width="13.140625" style="348" customWidth="1"/>
    <col min="19" max="20" width="0.85546875" style="349" customWidth="1"/>
    <col min="21" max="21" width="5.42578125" style="350" hidden="1" customWidth="1"/>
    <col min="22" max="22" width="3.7109375" style="350" hidden="1" customWidth="1"/>
    <col min="23" max="23" width="3" style="350" hidden="1" customWidth="1"/>
    <col min="24" max="24" width="18.42578125" style="351" hidden="1" customWidth="1"/>
    <col min="25" max="28" width="6.42578125" style="352" hidden="1" customWidth="1"/>
    <col min="29" max="29" width="0" style="352" hidden="1" customWidth="1"/>
    <col min="30" max="30" width="16.85546875" style="352" hidden="1" customWidth="1"/>
    <col min="31" max="32" width="18.140625" style="352" hidden="1" customWidth="1"/>
    <col min="33" max="33" width="26.42578125" style="352" hidden="1" customWidth="1"/>
    <col min="34" max="34" width="5.28515625" style="352" hidden="1" customWidth="1"/>
    <col min="35" max="35" width="6.28515625" style="352" bestFit="1" customWidth="1"/>
    <col min="36" max="16384" width="9.140625" style="345"/>
  </cols>
  <sheetData>
    <row r="2" spans="1:40">
      <c r="E2" s="347"/>
    </row>
    <row r="4" spans="1:40" ht="15">
      <c r="E4" s="631" t="s">
        <v>1205</v>
      </c>
      <c r="F4" s="631"/>
      <c r="G4" s="631"/>
      <c r="H4" s="631"/>
      <c r="I4" s="631"/>
      <c r="J4" s="631"/>
      <c r="K4" s="631"/>
      <c r="L4" s="631"/>
      <c r="M4" s="631"/>
      <c r="N4" s="631"/>
      <c r="O4" s="631"/>
      <c r="P4" s="631"/>
      <c r="Q4" s="631"/>
      <c r="R4" s="631"/>
      <c r="S4" s="631"/>
      <c r="T4" s="353"/>
      <c r="U4" s="354"/>
      <c r="V4" s="354"/>
      <c r="W4" s="354"/>
    </row>
    <row r="5" spans="1:40">
      <c r="E5" s="355"/>
      <c r="F5" s="632" t="s">
        <v>1206</v>
      </c>
      <c r="G5" s="632"/>
      <c r="H5" s="632"/>
      <c r="I5" s="632"/>
      <c r="J5" s="356"/>
      <c r="K5" s="632" t="s">
        <v>1207</v>
      </c>
      <c r="L5" s="632"/>
      <c r="M5" s="632"/>
      <c r="N5" s="632"/>
      <c r="O5" s="356"/>
      <c r="P5" s="632" t="s">
        <v>137</v>
      </c>
      <c r="Q5" s="632"/>
      <c r="R5" s="632"/>
      <c r="S5" s="357"/>
      <c r="T5" s="347"/>
      <c r="U5" s="358"/>
      <c r="V5" s="358"/>
      <c r="W5" s="358"/>
      <c r="X5" s="359"/>
    </row>
    <row r="6" spans="1:40" ht="25.5" customHeight="1">
      <c r="E6" s="360"/>
      <c r="F6" s="633" t="s">
        <v>1208</v>
      </c>
      <c r="G6" s="633"/>
      <c r="H6" s="361"/>
      <c r="I6" s="634" t="s">
        <v>1209</v>
      </c>
      <c r="J6" s="362"/>
      <c r="K6" s="633" t="s">
        <v>1208</v>
      </c>
      <c r="L6" s="633"/>
      <c r="M6" s="361"/>
      <c r="N6" s="634" t="s">
        <v>1209</v>
      </c>
      <c r="O6" s="362"/>
      <c r="P6" s="633" t="s">
        <v>1208</v>
      </c>
      <c r="Q6" s="633"/>
      <c r="R6" s="634" t="s">
        <v>1210</v>
      </c>
      <c r="S6" s="634"/>
      <c r="T6" s="363"/>
      <c r="U6" s="364"/>
      <c r="V6" s="364"/>
      <c r="W6" s="364"/>
      <c r="X6" s="365" t="s">
        <v>1211</v>
      </c>
      <c r="Y6" s="626" t="s">
        <v>1212</v>
      </c>
      <c r="Z6" s="626"/>
    </row>
    <row r="7" spans="1:40" ht="15">
      <c r="A7" s="366" t="s">
        <v>1213</v>
      </c>
      <c r="E7" s="360"/>
      <c r="F7" s="367" t="s">
        <v>1214</v>
      </c>
      <c r="G7" s="367" t="s">
        <v>1215</v>
      </c>
      <c r="H7" s="356"/>
      <c r="I7" s="635"/>
      <c r="J7" s="356"/>
      <c r="K7" s="367" t="s">
        <v>1214</v>
      </c>
      <c r="L7" s="367" t="s">
        <v>1215</v>
      </c>
      <c r="M7" s="356"/>
      <c r="N7" s="635"/>
      <c r="O7" s="356"/>
      <c r="P7" s="367" t="s">
        <v>1214</v>
      </c>
      <c r="Q7" s="367" t="s">
        <v>1215</v>
      </c>
      <c r="R7" s="635"/>
      <c r="S7" s="635"/>
      <c r="T7" s="363"/>
      <c r="U7" s="364"/>
      <c r="V7" s="364"/>
      <c r="W7" s="364"/>
      <c r="X7" s="368"/>
      <c r="Y7" s="369" t="s">
        <v>1216</v>
      </c>
      <c r="Z7" s="369" t="s">
        <v>1217</v>
      </c>
      <c r="AA7" s="369" t="s">
        <v>1218</v>
      </c>
      <c r="AB7" s="369" t="s">
        <v>1219</v>
      </c>
    </row>
    <row r="8" spans="1:40">
      <c r="A8" s="370" t="s">
        <v>1220</v>
      </c>
      <c r="B8" s="371" t="s">
        <v>1221</v>
      </c>
      <c r="C8" s="346" t="s">
        <v>279</v>
      </c>
      <c r="E8" s="372" t="s">
        <v>279</v>
      </c>
      <c r="F8" s="373" t="s">
        <v>1222</v>
      </c>
      <c r="G8" s="374" t="s">
        <v>1220</v>
      </c>
      <c r="H8" s="374"/>
      <c r="I8" s="374" t="s">
        <v>1221</v>
      </c>
      <c r="J8" s="374"/>
      <c r="K8" s="374" t="s">
        <v>1222</v>
      </c>
      <c r="L8" s="374" t="s">
        <v>1220</v>
      </c>
      <c r="M8" s="374"/>
      <c r="N8" s="374" t="s">
        <v>1221</v>
      </c>
      <c r="O8" s="374"/>
      <c r="P8" s="374" t="s">
        <v>1222</v>
      </c>
      <c r="Q8" s="374" t="s">
        <v>1220</v>
      </c>
      <c r="R8" s="374" t="s">
        <v>1223</v>
      </c>
      <c r="S8" s="375"/>
      <c r="T8" s="376"/>
      <c r="U8" s="377">
        <v>1</v>
      </c>
      <c r="V8" s="377">
        <v>1</v>
      </c>
      <c r="W8" s="377"/>
      <c r="X8" s="378" t="s">
        <v>1224</v>
      </c>
      <c r="Y8" s="352" t="e">
        <v>#REF!</v>
      </c>
      <c r="Z8" s="352" t="e">
        <v>#REF!</v>
      </c>
      <c r="AA8" s="352" t="e">
        <v>#REF!</v>
      </c>
      <c r="AB8" s="352" t="e">
        <v>#REF!</v>
      </c>
      <c r="AD8" s="379" t="s">
        <v>1225</v>
      </c>
      <c r="AE8" s="379" t="s">
        <v>1226</v>
      </c>
      <c r="AF8" s="379" t="s">
        <v>1227</v>
      </c>
      <c r="AG8" s="379" t="s">
        <v>318</v>
      </c>
      <c r="AH8" s="379"/>
    </row>
    <row r="9" spans="1:40">
      <c r="A9" s="370" t="s">
        <v>1228</v>
      </c>
      <c r="B9" s="371" t="s">
        <v>1221</v>
      </c>
      <c r="C9" s="346" t="s">
        <v>439</v>
      </c>
      <c r="E9" s="380" t="s">
        <v>439</v>
      </c>
      <c r="F9" s="381" t="s">
        <v>1222</v>
      </c>
      <c r="G9" s="382" t="s">
        <v>1228</v>
      </c>
      <c r="H9" s="382"/>
      <c r="I9" s="382" t="s">
        <v>1221</v>
      </c>
      <c r="J9" s="382"/>
      <c r="K9" s="382" t="s">
        <v>1222</v>
      </c>
      <c r="L9" s="382" t="s">
        <v>1228</v>
      </c>
      <c r="M9" s="382"/>
      <c r="N9" s="382" t="s">
        <v>1221</v>
      </c>
      <c r="O9" s="382"/>
      <c r="P9" s="382" t="s">
        <v>1222</v>
      </c>
      <c r="Q9" s="382" t="s">
        <v>1228</v>
      </c>
      <c r="R9" s="382" t="s">
        <v>1229</v>
      </c>
      <c r="S9" s="383"/>
      <c r="T9" s="382"/>
      <c r="U9" s="377">
        <v>1</v>
      </c>
      <c r="V9" s="377">
        <v>1</v>
      </c>
      <c r="W9" s="377"/>
      <c r="Y9" s="352" t="e">
        <v>#REF!</v>
      </c>
      <c r="Z9" s="352" t="e">
        <v>#REF!</v>
      </c>
      <c r="AA9" s="352" t="e">
        <v>#REF!</v>
      </c>
      <c r="AB9" s="352" t="e">
        <v>#REF!</v>
      </c>
      <c r="AD9" s="379" t="s">
        <v>1225</v>
      </c>
      <c r="AE9" s="379" t="s">
        <v>1226</v>
      </c>
      <c r="AF9" s="379" t="s">
        <v>1227</v>
      </c>
      <c r="AG9" s="379" t="s">
        <v>1230</v>
      </c>
      <c r="AH9" s="379"/>
    </row>
    <row r="10" spans="1:40">
      <c r="A10" s="370" t="s">
        <v>1228</v>
      </c>
      <c r="B10" s="371" t="s">
        <v>1221</v>
      </c>
      <c r="C10" s="346" t="s">
        <v>444</v>
      </c>
      <c r="E10" s="380" t="s">
        <v>444</v>
      </c>
      <c r="F10" s="381" t="s">
        <v>1222</v>
      </c>
      <c r="G10" s="382" t="s">
        <v>1228</v>
      </c>
      <c r="H10" s="382"/>
      <c r="I10" s="382" t="s">
        <v>1221</v>
      </c>
      <c r="J10" s="382"/>
      <c r="K10" s="382" t="s">
        <v>1222</v>
      </c>
      <c r="L10" s="382" t="s">
        <v>1228</v>
      </c>
      <c r="M10" s="382"/>
      <c r="N10" s="382" t="s">
        <v>1221</v>
      </c>
      <c r="O10" s="382"/>
      <c r="P10" s="382" t="s">
        <v>1222</v>
      </c>
      <c r="Q10" s="382" t="s">
        <v>1228</v>
      </c>
      <c r="R10" s="382" t="s">
        <v>1229</v>
      </c>
      <c r="S10" s="383"/>
      <c r="T10" s="382"/>
      <c r="U10" s="377">
        <v>1</v>
      </c>
      <c r="V10" s="377">
        <v>1</v>
      </c>
      <c r="W10" s="377"/>
      <c r="Y10" s="352" t="e">
        <v>#REF!</v>
      </c>
      <c r="Z10" s="352" t="e">
        <v>#REF!</v>
      </c>
      <c r="AA10" s="352" t="e">
        <v>#REF!</v>
      </c>
      <c r="AB10" s="352" t="e">
        <v>#REF!</v>
      </c>
      <c r="AD10" s="379" t="s">
        <v>1225</v>
      </c>
      <c r="AE10" s="379" t="s">
        <v>1226</v>
      </c>
      <c r="AF10" s="379" t="s">
        <v>1227</v>
      </c>
      <c r="AG10" s="379" t="s">
        <v>1230</v>
      </c>
      <c r="AH10" s="379" t="s">
        <v>318</v>
      </c>
    </row>
    <row r="11" spans="1:40">
      <c r="A11" s="370" t="s">
        <v>1228</v>
      </c>
      <c r="B11" s="371" t="s">
        <v>1221</v>
      </c>
      <c r="C11" s="346" t="s">
        <v>87</v>
      </c>
      <c r="E11" s="380" t="s">
        <v>87</v>
      </c>
      <c r="F11" s="381" t="s">
        <v>1222</v>
      </c>
      <c r="G11" s="382" t="s">
        <v>1228</v>
      </c>
      <c r="H11" s="382"/>
      <c r="I11" s="382" t="s">
        <v>1221</v>
      </c>
      <c r="J11" s="382"/>
      <c r="K11" s="382" t="s">
        <v>1222</v>
      </c>
      <c r="L11" s="382" t="s">
        <v>1228</v>
      </c>
      <c r="M11" s="382"/>
      <c r="N11" s="382" t="s">
        <v>1221</v>
      </c>
      <c r="O11" s="382"/>
      <c r="P11" s="382" t="s">
        <v>1222</v>
      </c>
      <c r="Q11" s="382" t="s">
        <v>1228</v>
      </c>
      <c r="R11" s="382" t="s">
        <v>1229</v>
      </c>
      <c r="S11" s="383"/>
      <c r="T11" s="382"/>
      <c r="U11" s="377">
        <v>1</v>
      </c>
      <c r="V11" s="377">
        <v>1</v>
      </c>
      <c r="W11" s="377"/>
      <c r="X11" s="378" t="s">
        <v>1231</v>
      </c>
      <c r="Y11" s="352" t="e">
        <v>#REF!</v>
      </c>
      <c r="Z11" s="352" t="e">
        <v>#REF!</v>
      </c>
      <c r="AA11" s="352" t="e">
        <v>#REF!</v>
      </c>
      <c r="AB11" s="352" t="e">
        <v>#REF!</v>
      </c>
      <c r="AD11" s="379" t="s">
        <v>1225</v>
      </c>
      <c r="AE11" s="379" t="s">
        <v>1226</v>
      </c>
      <c r="AF11" s="379" t="s">
        <v>1227</v>
      </c>
      <c r="AG11" s="379" t="s">
        <v>1230</v>
      </c>
      <c r="AH11" s="379"/>
      <c r="AN11" s="384"/>
    </row>
    <row r="12" spans="1:40">
      <c r="A12" s="370" t="s">
        <v>1232</v>
      </c>
      <c r="B12" s="371" t="s">
        <v>1221</v>
      </c>
      <c r="C12" s="346" t="s">
        <v>1233</v>
      </c>
      <c r="E12" s="380" t="s">
        <v>421</v>
      </c>
      <c r="F12" s="381" t="s">
        <v>1222</v>
      </c>
      <c r="G12" s="382" t="s">
        <v>1232</v>
      </c>
      <c r="H12" s="382"/>
      <c r="I12" s="382" t="s">
        <v>1221</v>
      </c>
      <c r="J12" s="382"/>
      <c r="K12" s="382" t="s">
        <v>1222</v>
      </c>
      <c r="L12" s="382" t="s">
        <v>1232</v>
      </c>
      <c r="M12" s="382"/>
      <c r="N12" s="382" t="s">
        <v>1221</v>
      </c>
      <c r="O12" s="382"/>
      <c r="P12" s="382" t="s">
        <v>1222</v>
      </c>
      <c r="Q12" s="382" t="s">
        <v>1232</v>
      </c>
      <c r="R12" s="382" t="s">
        <v>1229</v>
      </c>
      <c r="S12" s="383"/>
      <c r="T12" s="382"/>
      <c r="U12" s="377">
        <v>1</v>
      </c>
      <c r="V12" s="377">
        <v>1</v>
      </c>
      <c r="W12" s="377"/>
      <c r="Y12" s="352" t="e">
        <v>#REF!</v>
      </c>
      <c r="Z12" s="352" t="e">
        <v>#REF!</v>
      </c>
      <c r="AA12" s="352" t="e">
        <v>#REF!</v>
      </c>
      <c r="AB12" s="352" t="e">
        <v>#REF!</v>
      </c>
      <c r="AD12" s="379" t="s">
        <v>1225</v>
      </c>
      <c r="AE12" s="379" t="s">
        <v>1227</v>
      </c>
      <c r="AF12" s="379" t="s">
        <v>1230</v>
      </c>
      <c r="AG12" s="379"/>
      <c r="AH12" s="379"/>
    </row>
    <row r="13" spans="1:40">
      <c r="A13" s="370" t="s">
        <v>1232</v>
      </c>
      <c r="B13" s="371" t="s">
        <v>1221</v>
      </c>
      <c r="C13" s="346" t="s">
        <v>919</v>
      </c>
      <c r="E13" s="380" t="s">
        <v>919</v>
      </c>
      <c r="F13" s="381" t="s">
        <v>1222</v>
      </c>
      <c r="G13" s="382" t="s">
        <v>1232</v>
      </c>
      <c r="H13" s="382"/>
      <c r="I13" s="382" t="s">
        <v>1221</v>
      </c>
      <c r="J13" s="382"/>
      <c r="K13" s="382" t="s">
        <v>1222</v>
      </c>
      <c r="L13" s="382" t="s">
        <v>1232</v>
      </c>
      <c r="M13" s="382"/>
      <c r="N13" s="382" t="s">
        <v>1221</v>
      </c>
      <c r="O13" s="382"/>
      <c r="P13" s="382" t="s">
        <v>1222</v>
      </c>
      <c r="Q13" s="382" t="s">
        <v>1232</v>
      </c>
      <c r="R13" s="382" t="s">
        <v>317</v>
      </c>
      <c r="S13" s="383"/>
      <c r="T13" s="382"/>
      <c r="U13" s="377">
        <v>1</v>
      </c>
      <c r="V13" s="377">
        <v>1</v>
      </c>
      <c r="W13" s="377"/>
      <c r="Y13" s="352" t="e">
        <v>#REF!</v>
      </c>
      <c r="Z13" s="352" t="e">
        <v>#REF!</v>
      </c>
      <c r="AA13" s="352" t="e">
        <v>#REF!</v>
      </c>
      <c r="AB13" s="352" t="e">
        <v>#REF!</v>
      </c>
      <c r="AD13" s="379" t="s">
        <v>1225</v>
      </c>
      <c r="AE13" s="379" t="s">
        <v>1227</v>
      </c>
      <c r="AF13" s="379" t="s">
        <v>1230</v>
      </c>
      <c r="AG13" s="379"/>
      <c r="AH13" s="379"/>
    </row>
    <row r="14" spans="1:40">
      <c r="A14" s="370" t="s">
        <v>1232</v>
      </c>
      <c r="B14" s="371" t="s">
        <v>1221</v>
      </c>
      <c r="C14" s="346" t="s">
        <v>451</v>
      </c>
      <c r="E14" s="380" t="s">
        <v>451</v>
      </c>
      <c r="F14" s="381" t="s">
        <v>1222</v>
      </c>
      <c r="G14" s="382" t="s">
        <v>1232</v>
      </c>
      <c r="H14" s="382"/>
      <c r="I14" s="382" t="s">
        <v>1221</v>
      </c>
      <c r="J14" s="382"/>
      <c r="K14" s="382" t="s">
        <v>1222</v>
      </c>
      <c r="L14" s="382" t="s">
        <v>1232</v>
      </c>
      <c r="M14" s="382"/>
      <c r="N14" s="382" t="s">
        <v>1221</v>
      </c>
      <c r="O14" s="382"/>
      <c r="P14" s="382" t="s">
        <v>1222</v>
      </c>
      <c r="Q14" s="382" t="s">
        <v>1232</v>
      </c>
      <c r="R14" s="382" t="s">
        <v>1229</v>
      </c>
      <c r="S14" s="383"/>
      <c r="T14" s="382"/>
      <c r="U14" s="377">
        <v>1</v>
      </c>
      <c r="V14" s="377">
        <v>1</v>
      </c>
      <c r="W14" s="377"/>
      <c r="Y14" s="352" t="e">
        <v>#REF!</v>
      </c>
      <c r="Z14" s="352" t="e">
        <v>#REF!</v>
      </c>
      <c r="AA14" s="352" t="e">
        <v>#REF!</v>
      </c>
      <c r="AB14" s="352" t="e">
        <v>#REF!</v>
      </c>
      <c r="AD14" s="379" t="s">
        <v>1225</v>
      </c>
      <c r="AE14" s="379" t="s">
        <v>1227</v>
      </c>
      <c r="AF14" s="379" t="s">
        <v>1230</v>
      </c>
      <c r="AG14" s="379"/>
      <c r="AH14" s="379"/>
    </row>
    <row r="15" spans="1:40">
      <c r="A15" s="370" t="s">
        <v>1232</v>
      </c>
      <c r="B15" s="371" t="s">
        <v>1234</v>
      </c>
      <c r="C15" s="346" t="s">
        <v>423</v>
      </c>
      <c r="E15" s="380" t="s">
        <v>423</v>
      </c>
      <c r="F15" s="381" t="s">
        <v>1222</v>
      </c>
      <c r="G15" s="382" t="s">
        <v>1232</v>
      </c>
      <c r="H15" s="382"/>
      <c r="I15" s="382" t="s">
        <v>1234</v>
      </c>
      <c r="J15" s="382"/>
      <c r="K15" s="382" t="s">
        <v>145</v>
      </c>
      <c r="L15" s="382" t="s">
        <v>139</v>
      </c>
      <c r="M15" s="382"/>
      <c r="N15" s="382" t="s">
        <v>139</v>
      </c>
      <c r="O15" s="382"/>
      <c r="P15" s="382" t="s">
        <v>1222</v>
      </c>
      <c r="Q15" s="382" t="s">
        <v>1232</v>
      </c>
      <c r="R15" s="382" t="s">
        <v>317</v>
      </c>
      <c r="S15" s="383"/>
      <c r="T15" s="382"/>
      <c r="U15" s="377">
        <v>1</v>
      </c>
      <c r="V15" s="377">
        <v>1</v>
      </c>
      <c r="W15" s="377"/>
      <c r="Y15" s="352" t="e">
        <v>#REF!</v>
      </c>
      <c r="Z15" s="352" t="e">
        <v>#REF!</v>
      </c>
      <c r="AA15" s="352" t="e">
        <v>#REF!</v>
      </c>
      <c r="AB15" s="352" t="e">
        <v>#REF!</v>
      </c>
      <c r="AD15" s="379" t="s">
        <v>1225</v>
      </c>
      <c r="AE15" s="379" t="s">
        <v>1227</v>
      </c>
      <c r="AF15" s="379" t="s">
        <v>1230</v>
      </c>
      <c r="AG15" s="379"/>
      <c r="AH15" s="379"/>
    </row>
    <row r="16" spans="1:40">
      <c r="A16" s="370" t="s">
        <v>1232</v>
      </c>
      <c r="B16" s="371" t="s">
        <v>1221</v>
      </c>
      <c r="C16" s="346" t="s">
        <v>481</v>
      </c>
      <c r="E16" s="380" t="s">
        <v>481</v>
      </c>
      <c r="F16" s="381" t="s">
        <v>1222</v>
      </c>
      <c r="G16" s="382" t="s">
        <v>1232</v>
      </c>
      <c r="H16" s="382"/>
      <c r="I16" s="382" t="s">
        <v>1221</v>
      </c>
      <c r="J16" s="382"/>
      <c r="K16" s="382" t="s">
        <v>1222</v>
      </c>
      <c r="L16" s="382" t="s">
        <v>1232</v>
      </c>
      <c r="M16" s="382"/>
      <c r="N16" s="382" t="s">
        <v>1221</v>
      </c>
      <c r="O16" s="382"/>
      <c r="P16" s="382" t="s">
        <v>1222</v>
      </c>
      <c r="Q16" s="382" t="s">
        <v>1232</v>
      </c>
      <c r="R16" s="382" t="s">
        <v>1229</v>
      </c>
      <c r="S16" s="383"/>
      <c r="T16" s="382"/>
      <c r="U16" s="377">
        <v>1</v>
      </c>
      <c r="V16" s="377">
        <v>1</v>
      </c>
      <c r="W16" s="377"/>
      <c r="Y16" s="352" t="e">
        <v>#REF!</v>
      </c>
      <c r="Z16" s="352" t="e">
        <v>#REF!</v>
      </c>
      <c r="AA16" s="352" t="e">
        <v>#REF!</v>
      </c>
      <c r="AB16" s="352" t="e">
        <v>#REF!</v>
      </c>
      <c r="AD16" s="379" t="s">
        <v>1225</v>
      </c>
      <c r="AE16" s="379" t="s">
        <v>1227</v>
      </c>
      <c r="AF16" s="379" t="s">
        <v>1230</v>
      </c>
      <c r="AG16" s="379"/>
      <c r="AH16" s="379"/>
    </row>
    <row r="17" spans="1:35" s="349" customFormat="1">
      <c r="A17" s="370" t="s">
        <v>1232</v>
      </c>
      <c r="B17" s="371" t="s">
        <v>1221</v>
      </c>
      <c r="C17" s="346" t="s">
        <v>90</v>
      </c>
      <c r="D17" s="346"/>
      <c r="E17" s="380" t="s">
        <v>90</v>
      </c>
      <c r="F17" s="381" t="s">
        <v>1222</v>
      </c>
      <c r="G17" s="382" t="s">
        <v>1232</v>
      </c>
      <c r="H17" s="382"/>
      <c r="I17" s="382" t="s">
        <v>1221</v>
      </c>
      <c r="J17" s="382"/>
      <c r="K17" s="382" t="s">
        <v>1222</v>
      </c>
      <c r="L17" s="382" t="s">
        <v>1232</v>
      </c>
      <c r="M17" s="382"/>
      <c r="N17" s="382" t="s">
        <v>1221</v>
      </c>
      <c r="O17" s="382"/>
      <c r="P17" s="382" t="s">
        <v>1222</v>
      </c>
      <c r="Q17" s="382" t="s">
        <v>1232</v>
      </c>
      <c r="R17" s="382" t="s">
        <v>1229</v>
      </c>
      <c r="S17" s="383"/>
      <c r="T17" s="382"/>
      <c r="U17" s="377">
        <v>1</v>
      </c>
      <c r="V17" s="377">
        <v>1</v>
      </c>
      <c r="W17" s="377"/>
      <c r="X17" s="351"/>
      <c r="Y17" s="352" t="e">
        <v>#REF!</v>
      </c>
      <c r="Z17" s="352" t="e">
        <v>#REF!</v>
      </c>
      <c r="AA17" s="352" t="e">
        <v>#REF!</v>
      </c>
      <c r="AB17" s="352" t="e">
        <v>#REF!</v>
      </c>
      <c r="AC17" s="352"/>
      <c r="AD17" s="385" t="s">
        <v>1225</v>
      </c>
      <c r="AE17" s="379" t="s">
        <v>1227</v>
      </c>
      <c r="AF17" s="385" t="s">
        <v>1230</v>
      </c>
      <c r="AG17" s="385" t="s">
        <v>318</v>
      </c>
      <c r="AH17" s="385"/>
      <c r="AI17" s="351"/>
    </row>
    <row r="18" spans="1:35" s="349" customFormat="1">
      <c r="A18" s="370" t="s">
        <v>1228</v>
      </c>
      <c r="B18" s="371" t="s">
        <v>1221</v>
      </c>
      <c r="C18" s="346" t="s">
        <v>91</v>
      </c>
      <c r="D18" s="346"/>
      <c r="E18" s="380" t="s">
        <v>91</v>
      </c>
      <c r="F18" s="381" t="s">
        <v>1222</v>
      </c>
      <c r="G18" s="382" t="s">
        <v>1228</v>
      </c>
      <c r="H18" s="382"/>
      <c r="I18" s="382" t="s">
        <v>1221</v>
      </c>
      <c r="J18" s="382"/>
      <c r="K18" s="382" t="s">
        <v>1222</v>
      </c>
      <c r="L18" s="382" t="s">
        <v>1228</v>
      </c>
      <c r="M18" s="382"/>
      <c r="N18" s="382" t="s">
        <v>1221</v>
      </c>
      <c r="O18" s="382"/>
      <c r="P18" s="382" t="s">
        <v>1222</v>
      </c>
      <c r="Q18" s="382" t="s">
        <v>1228</v>
      </c>
      <c r="R18" s="382" t="s">
        <v>1229</v>
      </c>
      <c r="S18" s="383"/>
      <c r="T18" s="382"/>
      <c r="U18" s="377">
        <v>1</v>
      </c>
      <c r="V18" s="377">
        <v>1</v>
      </c>
      <c r="W18" s="377"/>
      <c r="X18" s="351"/>
      <c r="Y18" s="352" t="e">
        <v>#REF!</v>
      </c>
      <c r="Z18" s="352" t="e">
        <v>#REF!</v>
      </c>
      <c r="AA18" s="352" t="e">
        <v>#REF!</v>
      </c>
      <c r="AB18" s="352" t="e">
        <v>#REF!</v>
      </c>
      <c r="AC18" s="352"/>
      <c r="AD18" s="385" t="s">
        <v>1225</v>
      </c>
      <c r="AE18" s="379" t="s">
        <v>1226</v>
      </c>
      <c r="AF18" s="385" t="s">
        <v>1227</v>
      </c>
      <c r="AG18" s="385" t="s">
        <v>1230</v>
      </c>
      <c r="AH18" s="385"/>
      <c r="AI18" s="351"/>
    </row>
    <row r="19" spans="1:35" s="349" customFormat="1">
      <c r="A19" s="370" t="s">
        <v>1232</v>
      </c>
      <c r="B19" s="371" t="s">
        <v>1221</v>
      </c>
      <c r="C19" s="346" t="s">
        <v>425</v>
      </c>
      <c r="D19" s="346"/>
      <c r="E19" s="380" t="s">
        <v>425</v>
      </c>
      <c r="F19" s="381" t="s">
        <v>1222</v>
      </c>
      <c r="G19" s="382" t="s">
        <v>1232</v>
      </c>
      <c r="H19" s="382"/>
      <c r="I19" s="382" t="s">
        <v>1221</v>
      </c>
      <c r="J19" s="382"/>
      <c r="K19" s="382" t="s">
        <v>1222</v>
      </c>
      <c r="L19" s="382" t="s">
        <v>1232</v>
      </c>
      <c r="M19" s="382"/>
      <c r="N19" s="382" t="s">
        <v>1221</v>
      </c>
      <c r="O19" s="382"/>
      <c r="P19" s="382" t="s">
        <v>1222</v>
      </c>
      <c r="Q19" s="382" t="s">
        <v>1232</v>
      </c>
      <c r="R19" s="382" t="s">
        <v>317</v>
      </c>
      <c r="S19" s="383"/>
      <c r="T19" s="382"/>
      <c r="U19" s="377">
        <v>1</v>
      </c>
      <c r="V19" s="377">
        <v>1</v>
      </c>
      <c r="W19" s="377"/>
      <c r="X19" s="351"/>
      <c r="Y19" s="352" t="e">
        <v>#REF!</v>
      </c>
      <c r="Z19" s="352" t="e">
        <v>#REF!</v>
      </c>
      <c r="AA19" s="352" t="e">
        <v>#REF!</v>
      </c>
      <c r="AB19" s="352" t="e">
        <v>#REF!</v>
      </c>
      <c r="AC19" s="352"/>
      <c r="AD19" s="385" t="s">
        <v>1225</v>
      </c>
      <c r="AE19" s="379" t="s">
        <v>1227</v>
      </c>
      <c r="AF19" s="385" t="s">
        <v>1230</v>
      </c>
      <c r="AG19" s="385"/>
      <c r="AH19" s="385"/>
      <c r="AI19" s="351"/>
    </row>
    <row r="20" spans="1:35">
      <c r="A20" s="370" t="s">
        <v>1235</v>
      </c>
      <c r="B20" s="371" t="s">
        <v>1234</v>
      </c>
      <c r="C20" s="346" t="s">
        <v>920</v>
      </c>
      <c r="E20" s="369" t="s">
        <v>920</v>
      </c>
      <c r="F20" s="376" t="s">
        <v>1222</v>
      </c>
      <c r="G20" s="376" t="s">
        <v>1235</v>
      </c>
      <c r="H20" s="376"/>
      <c r="I20" s="376" t="s">
        <v>1234</v>
      </c>
      <c r="J20" s="376"/>
      <c r="K20" s="376" t="s">
        <v>1222</v>
      </c>
      <c r="L20" s="376" t="s">
        <v>1235</v>
      </c>
      <c r="M20" s="376"/>
      <c r="N20" s="376" t="s">
        <v>1234</v>
      </c>
      <c r="O20" s="376"/>
      <c r="P20" s="376" t="s">
        <v>1222</v>
      </c>
      <c r="Q20" s="376" t="s">
        <v>1235</v>
      </c>
      <c r="R20" s="382" t="s">
        <v>1229</v>
      </c>
      <c r="S20" s="375"/>
      <c r="T20" s="376"/>
      <c r="U20" s="377">
        <v>1</v>
      </c>
      <c r="V20" s="377">
        <v>1</v>
      </c>
      <c r="W20" s="377"/>
      <c r="Y20" s="352" t="e">
        <v>#REF!</v>
      </c>
      <c r="Z20" s="352" t="e">
        <v>#REF!</v>
      </c>
      <c r="AA20" s="352" t="e">
        <v>#REF!</v>
      </c>
      <c r="AB20" s="352" t="e">
        <v>#REF!</v>
      </c>
      <c r="AD20" s="379" t="s">
        <v>1225</v>
      </c>
      <c r="AE20" s="379"/>
      <c r="AF20" s="379"/>
      <c r="AG20" s="379"/>
      <c r="AH20" s="379"/>
    </row>
    <row r="21" spans="1:35" s="349" customFormat="1">
      <c r="A21" s="370" t="s">
        <v>1232</v>
      </c>
      <c r="B21" s="371" t="s">
        <v>1221</v>
      </c>
      <c r="C21" s="346" t="s">
        <v>921</v>
      </c>
      <c r="D21" s="346"/>
      <c r="E21" s="380" t="s">
        <v>921</v>
      </c>
      <c r="F21" s="381" t="s">
        <v>1222</v>
      </c>
      <c r="G21" s="382" t="s">
        <v>1232</v>
      </c>
      <c r="H21" s="382"/>
      <c r="I21" s="382" t="s">
        <v>1221</v>
      </c>
      <c r="J21" s="382"/>
      <c r="K21" s="382" t="s">
        <v>1222</v>
      </c>
      <c r="L21" s="382" t="s">
        <v>1232</v>
      </c>
      <c r="M21" s="382"/>
      <c r="N21" s="382" t="s">
        <v>1221</v>
      </c>
      <c r="O21" s="382"/>
      <c r="P21" s="382" t="s">
        <v>1222</v>
      </c>
      <c r="Q21" s="382" t="s">
        <v>1232</v>
      </c>
      <c r="R21" s="382" t="s">
        <v>1229</v>
      </c>
      <c r="S21" s="383"/>
      <c r="T21" s="382"/>
      <c r="U21" s="377">
        <v>1</v>
      </c>
      <c r="V21" s="377">
        <v>1</v>
      </c>
      <c r="W21" s="377"/>
      <c r="X21" s="378" t="s">
        <v>1231</v>
      </c>
      <c r="Y21" s="352" t="e">
        <v>#REF!</v>
      </c>
      <c r="Z21" s="352" t="e">
        <v>#REF!</v>
      </c>
      <c r="AA21" s="352" t="e">
        <v>#REF!</v>
      </c>
      <c r="AB21" s="352" t="e">
        <v>#REF!</v>
      </c>
      <c r="AC21" s="352"/>
      <c r="AD21" s="385" t="s">
        <v>1225</v>
      </c>
      <c r="AE21" s="379" t="s">
        <v>1227</v>
      </c>
      <c r="AF21" s="385" t="s">
        <v>1230</v>
      </c>
      <c r="AG21" s="385"/>
      <c r="AH21" s="385"/>
      <c r="AI21" s="351"/>
    </row>
    <row r="22" spans="1:35" s="349" customFormat="1">
      <c r="A22" s="370" t="s">
        <v>1232</v>
      </c>
      <c r="B22" s="371" t="s">
        <v>1221</v>
      </c>
      <c r="C22" s="346" t="s">
        <v>429</v>
      </c>
      <c r="D22" s="346"/>
      <c r="E22" s="380" t="s">
        <v>429</v>
      </c>
      <c r="F22" s="381" t="s">
        <v>1222</v>
      </c>
      <c r="G22" s="382" t="s">
        <v>1232</v>
      </c>
      <c r="H22" s="382"/>
      <c r="I22" s="382" t="s">
        <v>1221</v>
      </c>
      <c r="J22" s="382"/>
      <c r="K22" s="382" t="s">
        <v>1222</v>
      </c>
      <c r="L22" s="382" t="s">
        <v>1232</v>
      </c>
      <c r="M22" s="382"/>
      <c r="N22" s="382" t="s">
        <v>1221</v>
      </c>
      <c r="O22" s="382"/>
      <c r="P22" s="382" t="s">
        <v>1222</v>
      </c>
      <c r="Q22" s="382" t="s">
        <v>1232</v>
      </c>
      <c r="R22" s="382" t="s">
        <v>317</v>
      </c>
      <c r="S22" s="383"/>
      <c r="T22" s="382"/>
      <c r="U22" s="377">
        <v>1</v>
      </c>
      <c r="V22" s="377">
        <v>1</v>
      </c>
      <c r="W22" s="377"/>
      <c r="X22" s="351"/>
      <c r="Y22" s="352" t="e">
        <v>#REF!</v>
      </c>
      <c r="Z22" s="352" t="e">
        <v>#REF!</v>
      </c>
      <c r="AA22" s="352" t="e">
        <v>#REF!</v>
      </c>
      <c r="AB22" s="352" t="e">
        <v>#REF!</v>
      </c>
      <c r="AC22" s="352"/>
      <c r="AD22" s="385" t="s">
        <v>1225</v>
      </c>
      <c r="AE22" s="379" t="s">
        <v>1227</v>
      </c>
      <c r="AF22" s="385" t="s">
        <v>1230</v>
      </c>
      <c r="AG22" s="385" t="s">
        <v>318</v>
      </c>
      <c r="AH22" s="385"/>
      <c r="AI22" s="351"/>
    </row>
    <row r="23" spans="1:35" s="349" customFormat="1">
      <c r="A23" s="370" t="s">
        <v>1232</v>
      </c>
      <c r="B23" s="371" t="s">
        <v>318</v>
      </c>
      <c r="C23" s="346" t="s">
        <v>923</v>
      </c>
      <c r="D23" s="346"/>
      <c r="E23" s="380" t="s">
        <v>923</v>
      </c>
      <c r="F23" s="381" t="s">
        <v>1222</v>
      </c>
      <c r="G23" s="382" t="s">
        <v>1232</v>
      </c>
      <c r="H23" s="382"/>
      <c r="I23" s="382" t="s">
        <v>505</v>
      </c>
      <c r="J23" s="382"/>
      <c r="K23" s="382" t="s">
        <v>1222</v>
      </c>
      <c r="L23" s="382" t="s">
        <v>1232</v>
      </c>
      <c r="M23" s="382"/>
      <c r="N23" s="382" t="s">
        <v>505</v>
      </c>
      <c r="O23" s="382"/>
      <c r="P23" s="382" t="s">
        <v>1222</v>
      </c>
      <c r="Q23" s="382" t="s">
        <v>1232</v>
      </c>
      <c r="R23" s="382" t="s">
        <v>317</v>
      </c>
      <c r="S23" s="383"/>
      <c r="T23" s="382"/>
      <c r="U23" s="377">
        <v>1</v>
      </c>
      <c r="V23" s="377" t="s">
        <v>1236</v>
      </c>
      <c r="W23" s="377"/>
      <c r="X23" s="386" t="s">
        <v>1237</v>
      </c>
      <c r="Y23" s="352" t="e">
        <v>#REF!</v>
      </c>
      <c r="Z23" s="352" t="e">
        <v>#REF!</v>
      </c>
      <c r="AA23" s="352" t="e">
        <v>#REF!</v>
      </c>
      <c r="AB23" s="352" t="e">
        <v>#REF!</v>
      </c>
      <c r="AC23" s="352"/>
      <c r="AD23" s="385" t="s">
        <v>1225</v>
      </c>
      <c r="AE23" s="379" t="s">
        <v>1227</v>
      </c>
      <c r="AF23" s="385" t="s">
        <v>1230</v>
      </c>
      <c r="AG23" s="385"/>
      <c r="AH23" s="385"/>
      <c r="AI23" s="351"/>
    </row>
    <row r="24" spans="1:35" s="349" customFormat="1">
      <c r="A24" s="370" t="s">
        <v>1232</v>
      </c>
      <c r="B24" s="371" t="s">
        <v>1221</v>
      </c>
      <c r="C24" s="346" t="s">
        <v>92</v>
      </c>
      <c r="D24" s="346"/>
      <c r="E24" s="380" t="s">
        <v>92</v>
      </c>
      <c r="F24" s="381" t="s">
        <v>1222</v>
      </c>
      <c r="G24" s="382" t="s">
        <v>1232</v>
      </c>
      <c r="H24" s="382"/>
      <c r="I24" s="382" t="s">
        <v>1221</v>
      </c>
      <c r="J24" s="382"/>
      <c r="K24" s="382" t="s">
        <v>1222</v>
      </c>
      <c r="L24" s="382" t="s">
        <v>1232</v>
      </c>
      <c r="M24" s="382"/>
      <c r="N24" s="382" t="s">
        <v>1221</v>
      </c>
      <c r="O24" s="382"/>
      <c r="P24" s="382" t="s">
        <v>1222</v>
      </c>
      <c r="Q24" s="382" t="s">
        <v>1232</v>
      </c>
      <c r="R24" s="382" t="s">
        <v>1229</v>
      </c>
      <c r="S24" s="383"/>
      <c r="T24" s="382"/>
      <c r="U24" s="377">
        <v>1</v>
      </c>
      <c r="V24" s="377">
        <v>1</v>
      </c>
      <c r="W24" s="377"/>
      <c r="X24" s="351"/>
      <c r="Y24" s="352" t="e">
        <v>#REF!</v>
      </c>
      <c r="Z24" s="352" t="e">
        <v>#REF!</v>
      </c>
      <c r="AA24" s="352" t="e">
        <v>#REF!</v>
      </c>
      <c r="AB24" s="352" t="e">
        <v>#REF!</v>
      </c>
      <c r="AC24" s="352"/>
      <c r="AD24" s="385" t="s">
        <v>1225</v>
      </c>
      <c r="AE24" s="379" t="s">
        <v>1227</v>
      </c>
      <c r="AF24" s="385" t="s">
        <v>1230</v>
      </c>
      <c r="AG24" s="385"/>
      <c r="AH24" s="385"/>
      <c r="AI24" s="351"/>
    </row>
    <row r="25" spans="1:35" s="349" customFormat="1">
      <c r="A25" s="370" t="s">
        <v>1232</v>
      </c>
      <c r="B25" s="371" t="s">
        <v>1221</v>
      </c>
      <c r="C25" s="346" t="s">
        <v>96</v>
      </c>
      <c r="D25" s="346"/>
      <c r="E25" s="380" t="s">
        <v>96</v>
      </c>
      <c r="F25" s="381" t="s">
        <v>1222</v>
      </c>
      <c r="G25" s="382" t="s">
        <v>1232</v>
      </c>
      <c r="H25" s="382"/>
      <c r="I25" s="382" t="s">
        <v>1221</v>
      </c>
      <c r="J25" s="382"/>
      <c r="K25" s="382" t="s">
        <v>1222</v>
      </c>
      <c r="L25" s="382" t="s">
        <v>1232</v>
      </c>
      <c r="M25" s="382"/>
      <c r="N25" s="382" t="s">
        <v>1221</v>
      </c>
      <c r="O25" s="382"/>
      <c r="P25" s="382" t="s">
        <v>1222</v>
      </c>
      <c r="Q25" s="382" t="s">
        <v>1232</v>
      </c>
      <c r="R25" s="382" t="s">
        <v>1223</v>
      </c>
      <c r="S25" s="383"/>
      <c r="T25" s="382"/>
      <c r="U25" s="377">
        <v>1</v>
      </c>
      <c r="V25" s="377">
        <v>1</v>
      </c>
      <c r="W25" s="377"/>
      <c r="X25" s="351"/>
      <c r="Y25" s="352" t="e">
        <v>#REF!</v>
      </c>
      <c r="Z25" s="352" t="e">
        <v>#REF!</v>
      </c>
      <c r="AA25" s="352" t="e">
        <v>#REF!</v>
      </c>
      <c r="AB25" s="352" t="e">
        <v>#REF!</v>
      </c>
      <c r="AC25" s="352"/>
      <c r="AD25" s="385" t="s">
        <v>1225</v>
      </c>
      <c r="AE25" s="379" t="s">
        <v>1227</v>
      </c>
      <c r="AF25" s="385" t="s">
        <v>1230</v>
      </c>
      <c r="AG25" s="385"/>
      <c r="AH25" s="385"/>
      <c r="AI25" s="351"/>
    </row>
    <row r="26" spans="1:35" s="349" customFormat="1">
      <c r="A26" s="370" t="s">
        <v>1238</v>
      </c>
      <c r="B26" s="371" t="s">
        <v>1234</v>
      </c>
      <c r="C26" s="346" t="s">
        <v>283</v>
      </c>
      <c r="D26" s="346"/>
      <c r="E26" s="380" t="s">
        <v>283</v>
      </c>
      <c r="F26" s="381" t="s">
        <v>1235</v>
      </c>
      <c r="G26" s="382" t="s">
        <v>1238</v>
      </c>
      <c r="H26" s="382"/>
      <c r="I26" s="382" t="s">
        <v>1234</v>
      </c>
      <c r="J26" s="382"/>
      <c r="K26" s="382" t="s">
        <v>1235</v>
      </c>
      <c r="L26" s="382" t="s">
        <v>1238</v>
      </c>
      <c r="M26" s="382"/>
      <c r="N26" s="382" t="s">
        <v>1234</v>
      </c>
      <c r="O26" s="382"/>
      <c r="P26" s="382" t="s">
        <v>1222</v>
      </c>
      <c r="Q26" s="382" t="s">
        <v>1238</v>
      </c>
      <c r="R26" s="382" t="s">
        <v>317</v>
      </c>
      <c r="S26" s="383"/>
      <c r="T26" s="382"/>
      <c r="U26" s="377">
        <v>1</v>
      </c>
      <c r="V26" s="377">
        <v>1</v>
      </c>
      <c r="W26" s="377"/>
      <c r="X26" s="351"/>
      <c r="Y26" s="352" t="e">
        <v>#REF!</v>
      </c>
      <c r="Z26" s="352" t="e">
        <v>#REF!</v>
      </c>
      <c r="AA26" s="352" t="e">
        <v>#REF!</v>
      </c>
      <c r="AB26" s="352" t="e">
        <v>#REF!</v>
      </c>
      <c r="AC26" s="352"/>
      <c r="AD26" s="385" t="s">
        <v>1225</v>
      </c>
      <c r="AE26" s="379"/>
      <c r="AF26" s="385"/>
      <c r="AG26" s="385"/>
      <c r="AH26" s="385"/>
      <c r="AI26" s="351"/>
    </row>
    <row r="27" spans="1:35">
      <c r="A27" s="370" t="s">
        <v>1232</v>
      </c>
      <c r="B27" s="371" t="s">
        <v>1234</v>
      </c>
      <c r="C27" s="346" t="s">
        <v>442</v>
      </c>
      <c r="E27" s="380" t="s">
        <v>442</v>
      </c>
      <c r="F27" s="381" t="s">
        <v>1222</v>
      </c>
      <c r="G27" s="382" t="s">
        <v>1232</v>
      </c>
      <c r="H27" s="382"/>
      <c r="I27" s="382" t="s">
        <v>1234</v>
      </c>
      <c r="J27" s="382"/>
      <c r="K27" s="382" t="s">
        <v>1222</v>
      </c>
      <c r="L27" s="382" t="s">
        <v>1232</v>
      </c>
      <c r="M27" s="382"/>
      <c r="N27" s="382" t="s">
        <v>1234</v>
      </c>
      <c r="O27" s="382"/>
      <c r="P27" s="382" t="s">
        <v>1222</v>
      </c>
      <c r="Q27" s="382" t="s">
        <v>1232</v>
      </c>
      <c r="R27" s="382" t="s">
        <v>317</v>
      </c>
      <c r="S27" s="383"/>
      <c r="T27" s="382"/>
      <c r="U27" s="377">
        <v>1</v>
      </c>
      <c r="V27" s="377">
        <v>1</v>
      </c>
      <c r="W27" s="387"/>
      <c r="Y27" s="352" t="e">
        <v>#REF!</v>
      </c>
      <c r="Z27" s="352" t="e">
        <v>#REF!</v>
      </c>
      <c r="AA27" s="352" t="e">
        <v>#REF!</v>
      </c>
      <c r="AB27" s="352" t="e">
        <v>#REF!</v>
      </c>
      <c r="AD27" s="379" t="s">
        <v>1225</v>
      </c>
      <c r="AE27" s="379" t="s">
        <v>1227</v>
      </c>
      <c r="AF27" s="379" t="s">
        <v>1230</v>
      </c>
      <c r="AG27" s="379" t="s">
        <v>1239</v>
      </c>
      <c r="AH27" s="379"/>
    </row>
    <row r="28" spans="1:35" s="349" customFormat="1">
      <c r="A28" s="370" t="s">
        <v>1232</v>
      </c>
      <c r="B28" s="371" t="s">
        <v>1221</v>
      </c>
      <c r="C28" s="346" t="s">
        <v>433</v>
      </c>
      <c r="D28" s="346"/>
      <c r="E28" s="380" t="s">
        <v>433</v>
      </c>
      <c r="F28" s="381" t="s">
        <v>1222</v>
      </c>
      <c r="G28" s="382" t="s">
        <v>1232</v>
      </c>
      <c r="H28" s="382"/>
      <c r="I28" s="382" t="s">
        <v>1221</v>
      </c>
      <c r="J28" s="382"/>
      <c r="K28" s="382" t="s">
        <v>1222</v>
      </c>
      <c r="L28" s="382" t="s">
        <v>1232</v>
      </c>
      <c r="M28" s="382"/>
      <c r="N28" s="382" t="s">
        <v>1221</v>
      </c>
      <c r="O28" s="382"/>
      <c r="P28" s="382" t="s">
        <v>1222</v>
      </c>
      <c r="Q28" s="382" t="s">
        <v>1232</v>
      </c>
      <c r="R28" s="382" t="s">
        <v>317</v>
      </c>
      <c r="S28" s="383"/>
      <c r="T28" s="382"/>
      <c r="U28" s="377">
        <v>1</v>
      </c>
      <c r="V28" s="377">
        <v>1</v>
      </c>
      <c r="W28" s="377"/>
      <c r="X28" s="351"/>
      <c r="Y28" s="352" t="e">
        <v>#REF!</v>
      </c>
      <c r="Z28" s="352" t="e">
        <v>#REF!</v>
      </c>
      <c r="AA28" s="352" t="e">
        <v>#REF!</v>
      </c>
      <c r="AB28" s="352" t="e">
        <v>#REF!</v>
      </c>
      <c r="AC28" s="352"/>
      <c r="AD28" s="385" t="s">
        <v>1225</v>
      </c>
      <c r="AE28" s="379" t="s">
        <v>1227</v>
      </c>
      <c r="AF28" s="385" t="s">
        <v>1230</v>
      </c>
      <c r="AG28" s="385"/>
      <c r="AH28" s="385"/>
      <c r="AI28" s="351"/>
    </row>
    <row r="29" spans="1:35" s="349" customFormat="1">
      <c r="A29" s="370" t="s">
        <v>1232</v>
      </c>
      <c r="B29" s="371" t="s">
        <v>1221</v>
      </c>
      <c r="C29" s="346" t="s">
        <v>440</v>
      </c>
      <c r="D29" s="346"/>
      <c r="E29" s="380" t="s">
        <v>440</v>
      </c>
      <c r="F29" s="381" t="s">
        <v>1222</v>
      </c>
      <c r="G29" s="382" t="s">
        <v>1232</v>
      </c>
      <c r="H29" s="382"/>
      <c r="I29" s="382" t="s">
        <v>1221</v>
      </c>
      <c r="J29" s="382"/>
      <c r="K29" s="382" t="s">
        <v>1222</v>
      </c>
      <c r="L29" s="382" t="s">
        <v>1232</v>
      </c>
      <c r="M29" s="382"/>
      <c r="N29" s="382" t="s">
        <v>1221</v>
      </c>
      <c r="O29" s="382"/>
      <c r="P29" s="382" t="s">
        <v>1222</v>
      </c>
      <c r="Q29" s="382" t="s">
        <v>1232</v>
      </c>
      <c r="R29" s="382" t="s">
        <v>1229</v>
      </c>
      <c r="S29" s="383"/>
      <c r="T29" s="382"/>
      <c r="U29" s="377">
        <v>1</v>
      </c>
      <c r="V29" s="377">
        <v>1</v>
      </c>
      <c r="W29" s="377"/>
      <c r="X29" s="351"/>
      <c r="Y29" s="352" t="e">
        <v>#REF!</v>
      </c>
      <c r="Z29" s="352" t="e">
        <v>#REF!</v>
      </c>
      <c r="AA29" s="352" t="e">
        <v>#REF!</v>
      </c>
      <c r="AB29" s="352" t="e">
        <v>#REF!</v>
      </c>
      <c r="AC29" s="352"/>
      <c r="AD29" s="385" t="s">
        <v>1225</v>
      </c>
      <c r="AE29" s="379" t="s">
        <v>1227</v>
      </c>
      <c r="AF29" s="385" t="s">
        <v>1230</v>
      </c>
      <c r="AG29" s="385"/>
      <c r="AH29" s="385"/>
      <c r="AI29" s="351"/>
    </row>
    <row r="30" spans="1:35" s="349" customFormat="1">
      <c r="A30" s="370" t="s">
        <v>1238</v>
      </c>
      <c r="B30" s="371" t="s">
        <v>1221</v>
      </c>
      <c r="C30" s="346" t="s">
        <v>437</v>
      </c>
      <c r="D30" s="346"/>
      <c r="E30" s="380" t="s">
        <v>437</v>
      </c>
      <c r="F30" s="381" t="s">
        <v>1222</v>
      </c>
      <c r="G30" s="382" t="s">
        <v>1238</v>
      </c>
      <c r="H30" s="382"/>
      <c r="I30" s="382" t="s">
        <v>1221</v>
      </c>
      <c r="J30" s="382"/>
      <c r="K30" s="382" t="s">
        <v>1222</v>
      </c>
      <c r="L30" s="382" t="s">
        <v>1238</v>
      </c>
      <c r="M30" s="382"/>
      <c r="N30" s="382" t="s">
        <v>1221</v>
      </c>
      <c r="O30" s="382"/>
      <c r="P30" s="382" t="s">
        <v>1222</v>
      </c>
      <c r="Q30" s="382" t="s">
        <v>1238</v>
      </c>
      <c r="R30" s="382" t="s">
        <v>317</v>
      </c>
      <c r="S30" s="383"/>
      <c r="T30" s="382"/>
      <c r="U30" s="377">
        <v>1</v>
      </c>
      <c r="V30" s="377">
        <v>1</v>
      </c>
      <c r="W30" s="377"/>
      <c r="X30" s="351"/>
      <c r="Y30" s="352" t="e">
        <v>#REF!</v>
      </c>
      <c r="Z30" s="352" t="e">
        <v>#REF!</v>
      </c>
      <c r="AA30" s="352" t="e">
        <v>#REF!</v>
      </c>
      <c r="AB30" s="352" t="e">
        <v>#REF!</v>
      </c>
      <c r="AC30" s="352"/>
      <c r="AD30" s="385" t="s">
        <v>1225</v>
      </c>
      <c r="AE30" s="379" t="s">
        <v>1230</v>
      </c>
      <c r="AF30" s="385"/>
      <c r="AG30" s="385"/>
      <c r="AH30" s="385"/>
      <c r="AI30" s="351"/>
    </row>
    <row r="31" spans="1:35" s="349" customFormat="1">
      <c r="A31" s="370" t="s">
        <v>1232</v>
      </c>
      <c r="B31" s="371" t="s">
        <v>1221</v>
      </c>
      <c r="C31" s="346" t="s">
        <v>448</v>
      </c>
      <c r="D31" s="346"/>
      <c r="E31" s="380" t="s">
        <v>441</v>
      </c>
      <c r="F31" s="381" t="s">
        <v>1222</v>
      </c>
      <c r="G31" s="382" t="s">
        <v>1232</v>
      </c>
      <c r="H31" s="382"/>
      <c r="I31" s="382" t="s">
        <v>1221</v>
      </c>
      <c r="J31" s="382"/>
      <c r="K31" s="382" t="s">
        <v>1222</v>
      </c>
      <c r="L31" s="382" t="s">
        <v>1232</v>
      </c>
      <c r="M31" s="382"/>
      <c r="N31" s="382" t="s">
        <v>1221</v>
      </c>
      <c r="O31" s="382"/>
      <c r="P31" s="382" t="s">
        <v>1222</v>
      </c>
      <c r="Q31" s="382" t="s">
        <v>1232</v>
      </c>
      <c r="R31" s="382" t="s">
        <v>317</v>
      </c>
      <c r="S31" s="383"/>
      <c r="T31" s="382"/>
      <c r="U31" s="377">
        <v>1</v>
      </c>
      <c r="V31" s="377">
        <v>1</v>
      </c>
      <c r="W31" s="377"/>
      <c r="X31" s="351"/>
      <c r="Y31" s="352" t="e">
        <v>#REF!</v>
      </c>
      <c r="Z31" s="352" t="e">
        <v>#REF!</v>
      </c>
      <c r="AA31" s="352" t="e">
        <v>#REF!</v>
      </c>
      <c r="AB31" s="352" t="e">
        <v>#REF!</v>
      </c>
      <c r="AC31" s="352"/>
      <c r="AD31" s="385" t="s">
        <v>1225</v>
      </c>
      <c r="AE31" s="379" t="s">
        <v>1227</v>
      </c>
      <c r="AF31" s="385" t="s">
        <v>1230</v>
      </c>
      <c r="AG31" s="385"/>
      <c r="AH31" s="385"/>
      <c r="AI31" s="351"/>
    </row>
    <row r="32" spans="1:35" s="349" customFormat="1">
      <c r="A32" s="370" t="s">
        <v>1240</v>
      </c>
      <c r="B32" s="371" t="s">
        <v>1221</v>
      </c>
      <c r="C32" s="346" t="s">
        <v>924</v>
      </c>
      <c r="D32" s="346"/>
      <c r="E32" s="380" t="s">
        <v>924</v>
      </c>
      <c r="F32" s="381" t="s">
        <v>1222</v>
      </c>
      <c r="G32" s="382" t="s">
        <v>1240</v>
      </c>
      <c r="H32" s="382"/>
      <c r="I32" s="382" t="s">
        <v>1221</v>
      </c>
      <c r="J32" s="382"/>
      <c r="K32" s="382" t="s">
        <v>1222</v>
      </c>
      <c r="L32" s="382" t="s">
        <v>1240</v>
      </c>
      <c r="M32" s="382"/>
      <c r="N32" s="382" t="s">
        <v>1221</v>
      </c>
      <c r="O32" s="382"/>
      <c r="P32" s="382" t="s">
        <v>1222</v>
      </c>
      <c r="Q32" s="382" t="s">
        <v>1240</v>
      </c>
      <c r="R32" s="382" t="s">
        <v>1223</v>
      </c>
      <c r="S32" s="383"/>
      <c r="T32" s="382"/>
      <c r="U32" s="377">
        <v>1</v>
      </c>
      <c r="V32" s="377">
        <v>1</v>
      </c>
      <c r="W32" s="377"/>
      <c r="X32" s="378" t="s">
        <v>1231</v>
      </c>
      <c r="Y32" s="352" t="e">
        <v>#REF!</v>
      </c>
      <c r="Z32" s="352" t="e">
        <v>#REF!</v>
      </c>
      <c r="AA32" s="352" t="e">
        <v>#REF!</v>
      </c>
      <c r="AB32" s="352" t="e">
        <v>#REF!</v>
      </c>
      <c r="AC32" s="352"/>
      <c r="AD32" s="385" t="s">
        <v>1225</v>
      </c>
      <c r="AE32" s="379"/>
      <c r="AF32" s="385"/>
      <c r="AG32" s="385"/>
      <c r="AH32" s="385"/>
      <c r="AI32" s="351"/>
    </row>
    <row r="33" spans="1:35" s="349" customFormat="1">
      <c r="A33" s="370" t="s">
        <v>1232</v>
      </c>
      <c r="B33" s="371" t="s">
        <v>1221</v>
      </c>
      <c r="C33" s="346" t="s">
        <v>431</v>
      </c>
      <c r="D33" s="346"/>
      <c r="E33" s="380" t="s">
        <v>431</v>
      </c>
      <c r="F33" s="381" t="s">
        <v>1222</v>
      </c>
      <c r="G33" s="382" t="s">
        <v>1232</v>
      </c>
      <c r="H33" s="382"/>
      <c r="I33" s="382" t="s">
        <v>1221</v>
      </c>
      <c r="J33" s="382"/>
      <c r="K33" s="382" t="s">
        <v>1222</v>
      </c>
      <c r="L33" s="382" t="s">
        <v>1232</v>
      </c>
      <c r="M33" s="382"/>
      <c r="N33" s="382" t="s">
        <v>1221</v>
      </c>
      <c r="O33" s="382"/>
      <c r="P33" s="382" t="s">
        <v>1222</v>
      </c>
      <c r="Q33" s="382" t="s">
        <v>1232</v>
      </c>
      <c r="R33" s="382" t="s">
        <v>1223</v>
      </c>
      <c r="S33" s="383"/>
      <c r="T33" s="382"/>
      <c r="U33" s="377">
        <v>1</v>
      </c>
      <c r="V33" s="377">
        <v>1</v>
      </c>
      <c r="W33" s="377"/>
      <c r="X33" s="351"/>
      <c r="Y33" s="352" t="e">
        <v>#REF!</v>
      </c>
      <c r="Z33" s="352" t="e">
        <v>#REF!</v>
      </c>
      <c r="AA33" s="352" t="e">
        <v>#REF!</v>
      </c>
      <c r="AB33" s="352" t="e">
        <v>#REF!</v>
      </c>
      <c r="AC33" s="352"/>
      <c r="AD33" s="385" t="s">
        <v>1225</v>
      </c>
      <c r="AE33" s="379" t="s">
        <v>1227</v>
      </c>
      <c r="AF33" s="385" t="s">
        <v>1230</v>
      </c>
      <c r="AG33" s="385"/>
      <c r="AH33" s="385"/>
      <c r="AI33" s="351"/>
    </row>
    <row r="34" spans="1:35" s="349" customFormat="1">
      <c r="A34" s="370" t="s">
        <v>1232</v>
      </c>
      <c r="B34" s="371" t="s">
        <v>1221</v>
      </c>
      <c r="C34" s="346" t="s">
        <v>443</v>
      </c>
      <c r="D34" s="346"/>
      <c r="E34" s="380" t="s">
        <v>443</v>
      </c>
      <c r="F34" s="381" t="s">
        <v>1222</v>
      </c>
      <c r="G34" s="382" t="s">
        <v>1232</v>
      </c>
      <c r="H34" s="382"/>
      <c r="I34" s="382" t="s">
        <v>1221</v>
      </c>
      <c r="J34" s="382"/>
      <c r="K34" s="382" t="s">
        <v>1222</v>
      </c>
      <c r="L34" s="382" t="s">
        <v>1232</v>
      </c>
      <c r="M34" s="382"/>
      <c r="N34" s="382" t="s">
        <v>1221</v>
      </c>
      <c r="O34" s="382"/>
      <c r="P34" s="382" t="s">
        <v>1222</v>
      </c>
      <c r="Q34" s="382" t="s">
        <v>1232</v>
      </c>
      <c r="R34" s="382" t="s">
        <v>317</v>
      </c>
      <c r="S34" s="383"/>
      <c r="T34" s="382"/>
      <c r="U34" s="377">
        <v>1</v>
      </c>
      <c r="V34" s="377">
        <v>1</v>
      </c>
      <c r="W34" s="377"/>
      <c r="X34" s="351"/>
      <c r="Y34" s="352" t="e">
        <v>#REF!</v>
      </c>
      <c r="Z34" s="352" t="e">
        <v>#REF!</v>
      </c>
      <c r="AA34" s="352" t="e">
        <v>#REF!</v>
      </c>
      <c r="AB34" s="352" t="e">
        <v>#REF!</v>
      </c>
      <c r="AC34" s="352"/>
      <c r="AD34" s="385" t="s">
        <v>1225</v>
      </c>
      <c r="AE34" s="379" t="s">
        <v>1227</v>
      </c>
      <c r="AF34" s="385" t="s">
        <v>1230</v>
      </c>
      <c r="AG34" s="385" t="s">
        <v>318</v>
      </c>
      <c r="AH34" s="385"/>
      <c r="AI34" s="351"/>
    </row>
    <row r="35" spans="1:35" s="349" customFormat="1">
      <c r="A35" s="370" t="s">
        <v>1235</v>
      </c>
      <c r="B35" s="371" t="s">
        <v>1234</v>
      </c>
      <c r="C35" s="346" t="s">
        <v>925</v>
      </c>
      <c r="D35" s="346"/>
      <c r="E35" s="380" t="s">
        <v>925</v>
      </c>
      <c r="F35" s="382" t="s">
        <v>1222</v>
      </c>
      <c r="G35" s="382" t="s">
        <v>1235</v>
      </c>
      <c r="H35" s="382"/>
      <c r="I35" s="382" t="s">
        <v>1234</v>
      </c>
      <c r="J35" s="382"/>
      <c r="K35" s="382" t="s">
        <v>1222</v>
      </c>
      <c r="L35" s="382" t="s">
        <v>1235</v>
      </c>
      <c r="M35" s="382"/>
      <c r="N35" s="382" t="s">
        <v>1234</v>
      </c>
      <c r="O35" s="382"/>
      <c r="P35" s="382" t="s">
        <v>1222</v>
      </c>
      <c r="Q35" s="382" t="s">
        <v>1235</v>
      </c>
      <c r="R35" s="382" t="s">
        <v>317</v>
      </c>
      <c r="S35" s="383"/>
      <c r="T35" s="382"/>
      <c r="U35" s="377">
        <v>1</v>
      </c>
      <c r="V35" s="377">
        <v>1</v>
      </c>
      <c r="W35" s="377"/>
      <c r="X35" s="351"/>
      <c r="Y35" s="352" t="e">
        <v>#REF!</v>
      </c>
      <c r="Z35" s="352" t="e">
        <v>#REF!</v>
      </c>
      <c r="AA35" s="352" t="e">
        <v>#REF!</v>
      </c>
      <c r="AB35" s="352" t="e">
        <v>#REF!</v>
      </c>
      <c r="AC35" s="352"/>
      <c r="AD35" s="385" t="s">
        <v>1225</v>
      </c>
      <c r="AE35" s="379"/>
      <c r="AF35" s="385"/>
      <c r="AG35" s="385"/>
      <c r="AH35" s="385"/>
      <c r="AI35" s="351"/>
    </row>
    <row r="36" spans="1:35" s="349" customFormat="1">
      <c r="A36" s="370" t="s">
        <v>1232</v>
      </c>
      <c r="B36" s="371" t="s">
        <v>1221</v>
      </c>
      <c r="C36" s="346" t="s">
        <v>449</v>
      </c>
      <c r="D36" s="346"/>
      <c r="E36" s="380" t="s">
        <v>449</v>
      </c>
      <c r="F36" s="381" t="s">
        <v>1222</v>
      </c>
      <c r="G36" s="382" t="s">
        <v>1232</v>
      </c>
      <c r="H36" s="382"/>
      <c r="I36" s="382" t="s">
        <v>1221</v>
      </c>
      <c r="J36" s="382"/>
      <c r="K36" s="382" t="s">
        <v>1222</v>
      </c>
      <c r="L36" s="382" t="s">
        <v>1232</v>
      </c>
      <c r="M36" s="382"/>
      <c r="N36" s="382" t="s">
        <v>1221</v>
      </c>
      <c r="O36" s="382"/>
      <c r="P36" s="382" t="s">
        <v>1222</v>
      </c>
      <c r="Q36" s="382" t="s">
        <v>1232</v>
      </c>
      <c r="R36" s="382" t="s">
        <v>1229</v>
      </c>
      <c r="S36" s="383"/>
      <c r="T36" s="382"/>
      <c r="U36" s="377">
        <v>1</v>
      </c>
      <c r="V36" s="377">
        <v>1</v>
      </c>
      <c r="W36" s="377"/>
      <c r="X36" s="351"/>
      <c r="Y36" s="352" t="e">
        <v>#REF!</v>
      </c>
      <c r="Z36" s="352" t="e">
        <v>#REF!</v>
      </c>
      <c r="AA36" s="352" t="e">
        <v>#REF!</v>
      </c>
      <c r="AB36" s="352" t="e">
        <v>#REF!</v>
      </c>
      <c r="AC36" s="352"/>
      <c r="AD36" s="385" t="s">
        <v>1225</v>
      </c>
      <c r="AE36" s="379" t="s">
        <v>1227</v>
      </c>
      <c r="AF36" s="385" t="s">
        <v>1230</v>
      </c>
      <c r="AG36" s="385"/>
      <c r="AH36" s="385"/>
      <c r="AI36" s="351"/>
    </row>
    <row r="37" spans="1:35" s="349" customFormat="1">
      <c r="A37" s="370" t="s">
        <v>1232</v>
      </c>
      <c r="B37" s="371" t="s">
        <v>1234</v>
      </c>
      <c r="C37" s="346" t="s">
        <v>432</v>
      </c>
      <c r="D37" s="346"/>
      <c r="E37" s="380" t="s">
        <v>432</v>
      </c>
      <c r="F37" s="381" t="s">
        <v>1222</v>
      </c>
      <c r="G37" s="382" t="s">
        <v>1232</v>
      </c>
      <c r="H37" s="382"/>
      <c r="I37" s="382" t="s">
        <v>1221</v>
      </c>
      <c r="J37" s="382"/>
      <c r="K37" s="382" t="s">
        <v>1222</v>
      </c>
      <c r="L37" s="382" t="s">
        <v>1232</v>
      </c>
      <c r="M37" s="382"/>
      <c r="N37" s="382" t="s">
        <v>1221</v>
      </c>
      <c r="O37" s="382"/>
      <c r="P37" s="382" t="s">
        <v>1222</v>
      </c>
      <c r="Q37" s="382" t="s">
        <v>1232</v>
      </c>
      <c r="R37" s="382" t="s">
        <v>1229</v>
      </c>
      <c r="S37" s="383"/>
      <c r="T37" s="382"/>
      <c r="U37" s="377">
        <v>1</v>
      </c>
      <c r="V37" s="377" t="s">
        <v>1236</v>
      </c>
      <c r="W37" s="377"/>
      <c r="X37" s="351"/>
      <c r="Y37" s="352" t="e">
        <v>#REF!</v>
      </c>
      <c r="Z37" s="352" t="e">
        <v>#REF!</v>
      </c>
      <c r="AA37" s="352" t="e">
        <v>#REF!</v>
      </c>
      <c r="AB37" s="352" t="e">
        <v>#REF!</v>
      </c>
      <c r="AC37" s="352"/>
      <c r="AD37" s="385" t="s">
        <v>1225</v>
      </c>
      <c r="AE37" s="379" t="s">
        <v>1226</v>
      </c>
      <c r="AF37" s="385" t="s">
        <v>1227</v>
      </c>
      <c r="AG37" s="385" t="s">
        <v>1230</v>
      </c>
      <c r="AH37" s="385"/>
      <c r="AI37" s="351"/>
    </row>
    <row r="38" spans="1:35">
      <c r="A38" s="370" t="s">
        <v>1228</v>
      </c>
      <c r="B38" s="371" t="s">
        <v>1221</v>
      </c>
      <c r="C38" s="346" t="s">
        <v>94</v>
      </c>
      <c r="E38" s="380" t="s">
        <v>94</v>
      </c>
      <c r="F38" s="381" t="s">
        <v>1222</v>
      </c>
      <c r="G38" s="382" t="s">
        <v>1228</v>
      </c>
      <c r="H38" s="382"/>
      <c r="I38" s="382" t="s">
        <v>1221</v>
      </c>
      <c r="J38" s="382"/>
      <c r="K38" s="382" t="s">
        <v>1222</v>
      </c>
      <c r="L38" s="382" t="s">
        <v>1228</v>
      </c>
      <c r="M38" s="382"/>
      <c r="N38" s="382" t="s">
        <v>1221</v>
      </c>
      <c r="O38" s="382"/>
      <c r="P38" s="382" t="s">
        <v>1222</v>
      </c>
      <c r="Q38" s="382" t="s">
        <v>1228</v>
      </c>
      <c r="R38" s="382" t="s">
        <v>317</v>
      </c>
      <c r="S38" s="383"/>
      <c r="T38" s="382"/>
      <c r="U38" s="377">
        <v>1</v>
      </c>
      <c r="V38" s="377">
        <v>1</v>
      </c>
      <c r="W38" s="377"/>
      <c r="Y38" s="352" t="e">
        <v>#REF!</v>
      </c>
      <c r="Z38" s="352" t="e">
        <v>#REF!</v>
      </c>
      <c r="AA38" s="352" t="e">
        <v>#REF!</v>
      </c>
      <c r="AB38" s="352" t="e">
        <v>#REF!</v>
      </c>
      <c r="AD38" s="379" t="s">
        <v>1225</v>
      </c>
      <c r="AE38" s="379" t="s">
        <v>1226</v>
      </c>
      <c r="AF38" s="379" t="s">
        <v>1227</v>
      </c>
      <c r="AG38" s="379" t="s">
        <v>1230</v>
      </c>
      <c r="AH38" s="379"/>
    </row>
    <row r="39" spans="1:35">
      <c r="A39" s="370" t="s">
        <v>1232</v>
      </c>
      <c r="B39" s="371" t="s">
        <v>1221</v>
      </c>
      <c r="C39" s="346" t="s">
        <v>422</v>
      </c>
      <c r="E39" s="380" t="s">
        <v>422</v>
      </c>
      <c r="F39" s="381" t="s">
        <v>1222</v>
      </c>
      <c r="G39" s="382" t="s">
        <v>1232</v>
      </c>
      <c r="H39" s="382"/>
      <c r="I39" s="382" t="s">
        <v>1221</v>
      </c>
      <c r="J39" s="382"/>
      <c r="K39" s="382" t="s">
        <v>1222</v>
      </c>
      <c r="L39" s="382" t="s">
        <v>1232</v>
      </c>
      <c r="M39" s="382"/>
      <c r="N39" s="382" t="s">
        <v>1221</v>
      </c>
      <c r="O39" s="382"/>
      <c r="P39" s="382" t="s">
        <v>1222</v>
      </c>
      <c r="Q39" s="382" t="s">
        <v>1232</v>
      </c>
      <c r="R39" s="382" t="s">
        <v>317</v>
      </c>
      <c r="S39" s="383"/>
      <c r="T39" s="382"/>
      <c r="U39" s="377">
        <v>1</v>
      </c>
      <c r="V39" s="377">
        <v>1</v>
      </c>
      <c r="W39" s="377"/>
      <c r="Y39" s="352" t="e">
        <v>#REF!</v>
      </c>
      <c r="Z39" s="352" t="e">
        <v>#REF!</v>
      </c>
      <c r="AA39" s="352" t="e">
        <v>#REF!</v>
      </c>
      <c r="AB39" s="352" t="e">
        <v>#REF!</v>
      </c>
      <c r="AD39" s="379" t="s">
        <v>1225</v>
      </c>
      <c r="AE39" s="379" t="s">
        <v>1227</v>
      </c>
      <c r="AF39" s="379" t="s">
        <v>1230</v>
      </c>
      <c r="AG39" s="379"/>
      <c r="AH39" s="379"/>
    </row>
    <row r="40" spans="1:35">
      <c r="A40" s="370" t="s">
        <v>1228</v>
      </c>
      <c r="B40" s="371" t="s">
        <v>1221</v>
      </c>
      <c r="C40" s="346" t="s">
        <v>926</v>
      </c>
      <c r="E40" s="369" t="s">
        <v>926</v>
      </c>
      <c r="F40" s="388" t="s">
        <v>1222</v>
      </c>
      <c r="G40" s="376" t="s">
        <v>1228</v>
      </c>
      <c r="H40" s="376"/>
      <c r="I40" s="376" t="s">
        <v>1221</v>
      </c>
      <c r="J40" s="376"/>
      <c r="K40" s="376" t="s">
        <v>1222</v>
      </c>
      <c r="L40" s="376" t="s">
        <v>1228</v>
      </c>
      <c r="M40" s="376"/>
      <c r="N40" s="376" t="s">
        <v>1221</v>
      </c>
      <c r="O40" s="376"/>
      <c r="P40" s="376" t="s">
        <v>1222</v>
      </c>
      <c r="Q40" s="376" t="s">
        <v>1228</v>
      </c>
      <c r="R40" s="382" t="s">
        <v>317</v>
      </c>
      <c r="S40" s="375"/>
      <c r="T40" s="376"/>
      <c r="U40" s="377">
        <v>1</v>
      </c>
      <c r="V40" s="377">
        <v>1</v>
      </c>
      <c r="W40" s="377"/>
      <c r="Y40" s="352" t="e">
        <v>#REF!</v>
      </c>
      <c r="Z40" s="352" t="e">
        <v>#REF!</v>
      </c>
      <c r="AA40" s="352" t="e">
        <v>#REF!</v>
      </c>
      <c r="AB40" s="352" t="e">
        <v>#REF!</v>
      </c>
      <c r="AD40" s="379" t="s">
        <v>1225</v>
      </c>
      <c r="AE40" s="379" t="s">
        <v>1226</v>
      </c>
      <c r="AF40" s="379" t="s">
        <v>1227</v>
      </c>
      <c r="AG40" s="379" t="s">
        <v>1230</v>
      </c>
      <c r="AH40" s="379" t="s">
        <v>318</v>
      </c>
    </row>
    <row r="41" spans="1:35">
      <c r="A41" s="370" t="s">
        <v>1240</v>
      </c>
      <c r="B41" s="371" t="s">
        <v>1221</v>
      </c>
      <c r="C41" s="346" t="s">
        <v>97</v>
      </c>
      <c r="E41" s="380" t="s">
        <v>97</v>
      </c>
      <c r="F41" s="381" t="s">
        <v>1222</v>
      </c>
      <c r="G41" s="382" t="s">
        <v>1240</v>
      </c>
      <c r="H41" s="382"/>
      <c r="I41" s="382" t="s">
        <v>1221</v>
      </c>
      <c r="J41" s="382"/>
      <c r="K41" s="382" t="s">
        <v>1222</v>
      </c>
      <c r="L41" s="382" t="s">
        <v>1240</v>
      </c>
      <c r="M41" s="382"/>
      <c r="N41" s="382" t="s">
        <v>1221</v>
      </c>
      <c r="O41" s="382"/>
      <c r="P41" s="382" t="s">
        <v>1222</v>
      </c>
      <c r="Q41" s="382" t="s">
        <v>1240</v>
      </c>
      <c r="R41" s="382" t="s">
        <v>317</v>
      </c>
      <c r="S41" s="383"/>
      <c r="T41" s="382"/>
      <c r="U41" s="377">
        <v>1</v>
      </c>
      <c r="V41" s="377">
        <v>1</v>
      </c>
      <c r="W41" s="377"/>
      <c r="Y41" s="352" t="e">
        <v>#REF!</v>
      </c>
      <c r="Z41" s="352" t="e">
        <v>#REF!</v>
      </c>
      <c r="AA41" s="352" t="e">
        <v>#REF!</v>
      </c>
      <c r="AB41" s="352" t="e">
        <v>#REF!</v>
      </c>
      <c r="AD41" s="379" t="s">
        <v>1225</v>
      </c>
      <c r="AE41" s="379" t="s">
        <v>1227</v>
      </c>
      <c r="AF41" s="379"/>
      <c r="AG41" s="379"/>
      <c r="AH41" s="379"/>
    </row>
    <row r="42" spans="1:35">
      <c r="A42" s="370" t="s">
        <v>1241</v>
      </c>
      <c r="B42" s="371" t="s">
        <v>1221</v>
      </c>
      <c r="C42" s="346" t="s">
        <v>99</v>
      </c>
      <c r="E42" s="389" t="s">
        <v>99</v>
      </c>
      <c r="F42" s="390" t="s">
        <v>1222</v>
      </c>
      <c r="G42" s="391" t="s">
        <v>1241</v>
      </c>
      <c r="H42" s="391"/>
      <c r="I42" s="391" t="s">
        <v>1221</v>
      </c>
      <c r="J42" s="391"/>
      <c r="K42" s="391" t="s">
        <v>1222</v>
      </c>
      <c r="L42" s="391" t="s">
        <v>1241</v>
      </c>
      <c r="M42" s="391"/>
      <c r="N42" s="391" t="s">
        <v>1221</v>
      </c>
      <c r="O42" s="391"/>
      <c r="P42" s="391" t="s">
        <v>1222</v>
      </c>
      <c r="Q42" s="391" t="s">
        <v>1241</v>
      </c>
      <c r="R42" s="392" t="s">
        <v>317</v>
      </c>
      <c r="S42" s="393"/>
      <c r="T42" s="391"/>
      <c r="U42" s="377">
        <v>1</v>
      </c>
      <c r="V42" s="377">
        <v>1</v>
      </c>
      <c r="W42" s="377"/>
      <c r="Y42" s="352" t="e">
        <v>#REF!</v>
      </c>
      <c r="Z42" s="352" t="e">
        <v>#REF!</v>
      </c>
      <c r="AA42" s="352" t="e">
        <v>#REF!</v>
      </c>
      <c r="AB42" s="352" t="e">
        <v>#REF!</v>
      </c>
      <c r="AD42" s="379" t="s">
        <v>1225</v>
      </c>
      <c r="AE42" s="379" t="s">
        <v>1226</v>
      </c>
      <c r="AF42" s="379" t="s">
        <v>1227</v>
      </c>
      <c r="AG42" s="379"/>
      <c r="AH42" s="379"/>
    </row>
    <row r="43" spans="1:35" ht="24" customHeight="1">
      <c r="E43" s="627" t="s">
        <v>1242</v>
      </c>
      <c r="F43" s="627"/>
      <c r="G43" s="627"/>
      <c r="H43" s="627"/>
      <c r="I43" s="627"/>
      <c r="J43" s="627"/>
      <c r="K43" s="627"/>
      <c r="L43" s="627"/>
      <c r="M43" s="627"/>
      <c r="N43" s="627"/>
      <c r="O43" s="627"/>
      <c r="P43" s="627"/>
      <c r="Q43" s="627"/>
      <c r="R43" s="627"/>
      <c r="S43" s="627"/>
      <c r="T43" s="394"/>
      <c r="U43" s="395"/>
      <c r="V43" s="395"/>
      <c r="W43" s="395"/>
      <c r="X43" s="394"/>
    </row>
    <row r="44" spans="1:35" ht="24.75" customHeight="1">
      <c r="E44" s="628" t="s">
        <v>1243</v>
      </c>
      <c r="F44" s="628"/>
      <c r="G44" s="628"/>
      <c r="H44" s="628"/>
      <c r="I44" s="628"/>
      <c r="J44" s="628"/>
      <c r="K44" s="628"/>
      <c r="L44" s="628"/>
      <c r="M44" s="628"/>
      <c r="N44" s="628"/>
      <c r="O44" s="628"/>
      <c r="P44" s="628"/>
      <c r="Q44" s="628"/>
      <c r="R44" s="628"/>
      <c r="S44" s="628"/>
      <c r="T44" s="396"/>
    </row>
    <row r="45" spans="1:35" ht="8.25" customHeight="1">
      <c r="E45" s="629" t="s">
        <v>1244</v>
      </c>
      <c r="F45" s="629"/>
      <c r="G45" s="629"/>
      <c r="H45" s="629"/>
      <c r="I45" s="629"/>
      <c r="J45" s="629"/>
      <c r="K45" s="629"/>
      <c r="L45" s="629"/>
      <c r="M45" s="629"/>
      <c r="N45" s="629"/>
      <c r="O45" s="629"/>
      <c r="P45" s="629"/>
      <c r="Q45" s="629"/>
      <c r="R45" s="629"/>
      <c r="S45" s="629"/>
      <c r="T45" s="394"/>
    </row>
    <row r="46" spans="1:35">
      <c r="E46" s="629"/>
      <c r="F46" s="629"/>
      <c r="G46" s="629"/>
      <c r="H46" s="629"/>
      <c r="I46" s="629"/>
      <c r="J46" s="629"/>
      <c r="K46" s="629"/>
      <c r="L46" s="629"/>
      <c r="M46" s="629"/>
      <c r="N46" s="629"/>
      <c r="O46" s="629"/>
      <c r="P46" s="629"/>
      <c r="Q46" s="629"/>
      <c r="R46" s="629"/>
      <c r="S46" s="629"/>
      <c r="T46" s="394"/>
    </row>
    <row r="47" spans="1:35" ht="8.25" customHeight="1">
      <c r="E47" s="629"/>
      <c r="F47" s="629"/>
      <c r="G47" s="629"/>
      <c r="H47" s="629"/>
      <c r="I47" s="629"/>
      <c r="J47" s="629"/>
      <c r="K47" s="629"/>
      <c r="L47" s="629"/>
      <c r="M47" s="629"/>
      <c r="N47" s="629"/>
      <c r="O47" s="629"/>
      <c r="P47" s="629"/>
      <c r="Q47" s="629"/>
      <c r="R47" s="629"/>
      <c r="S47" s="629"/>
      <c r="T47" s="394"/>
    </row>
    <row r="48" spans="1:35">
      <c r="E48" s="629"/>
      <c r="F48" s="629"/>
      <c r="G48" s="629"/>
      <c r="H48" s="629"/>
      <c r="I48" s="629"/>
      <c r="J48" s="629"/>
      <c r="K48" s="629"/>
      <c r="L48" s="629"/>
      <c r="M48" s="629"/>
      <c r="N48" s="629"/>
      <c r="O48" s="629"/>
      <c r="P48" s="629"/>
      <c r="Q48" s="629"/>
      <c r="R48" s="629"/>
      <c r="S48" s="629"/>
      <c r="T48" s="394"/>
    </row>
    <row r="49" spans="5:20" ht="18" customHeight="1">
      <c r="E49" s="629"/>
      <c r="F49" s="629"/>
      <c r="G49" s="629"/>
      <c r="H49" s="629"/>
      <c r="I49" s="629"/>
      <c r="J49" s="629"/>
      <c r="K49" s="629"/>
      <c r="L49" s="629"/>
      <c r="M49" s="629"/>
      <c r="N49" s="629"/>
      <c r="O49" s="629"/>
      <c r="P49" s="629"/>
      <c r="Q49" s="629"/>
      <c r="R49" s="629"/>
      <c r="S49" s="629"/>
      <c r="T49" s="394"/>
    </row>
    <row r="50" spans="5:20">
      <c r="E50" s="630"/>
      <c r="F50" s="630"/>
      <c r="G50" s="630"/>
      <c r="H50" s="630"/>
      <c r="I50" s="630"/>
      <c r="J50" s="630"/>
      <c r="K50" s="630"/>
      <c r="L50" s="630"/>
      <c r="M50" s="630"/>
      <c r="N50" s="630"/>
      <c r="O50" s="630"/>
      <c r="P50" s="630"/>
      <c r="Q50" s="630"/>
      <c r="R50" s="630"/>
      <c r="S50" s="630"/>
      <c r="T50" s="396"/>
    </row>
  </sheetData>
  <mergeCells count="16">
    <mergeCell ref="E4:S4"/>
    <mergeCell ref="F5:I5"/>
    <mergeCell ref="K5:N5"/>
    <mergeCell ref="P5:R5"/>
    <mergeCell ref="F6:G6"/>
    <mergeCell ref="I6:I7"/>
    <mergeCell ref="K6:L6"/>
    <mergeCell ref="N6:N7"/>
    <mergeCell ref="P6:Q6"/>
    <mergeCell ref="R6:R7"/>
    <mergeCell ref="S6:S7"/>
    <mergeCell ref="Y6:Z6"/>
    <mergeCell ref="E43:S43"/>
    <mergeCell ref="E44:S44"/>
    <mergeCell ref="E45:S49"/>
    <mergeCell ref="E50:S50"/>
  </mergeCells>
  <conditionalFormatting sqref="E8:T42">
    <cfRule type="expression" dxfId="5" priority="1">
      <formula>MOD(ROW(),2)=0</formula>
    </cfRule>
  </conditionalFormatting>
  <conditionalFormatting sqref="V27:W30">
    <cfRule type="containsText" dxfId="4" priority="4" operator="containsText" text="DESK">
      <formula>NOT(ISERROR(SEARCH("DESK",V27)))</formula>
    </cfRule>
  </conditionalFormatting>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5AD88-CD66-45E5-9119-8B59EC340832}">
  <dimension ref="A1:R391"/>
  <sheetViews>
    <sheetView showGridLines="0" zoomScale="85" zoomScaleNormal="85" workbookViewId="0">
      <selection activeCell="B88" sqref="B88:K88"/>
    </sheetView>
  </sheetViews>
  <sheetFormatPr defaultRowHeight="12.75"/>
  <sheetData>
    <row r="1" spans="1:18">
      <c r="A1" s="171" t="s">
        <v>189</v>
      </c>
    </row>
    <row r="2" spans="1:18">
      <c r="A2" s="171" t="s">
        <v>190</v>
      </c>
      <c r="B2" s="171" t="s">
        <v>191</v>
      </c>
      <c r="E2" s="171" t="s">
        <v>192</v>
      </c>
    </row>
    <row r="3" spans="1:18">
      <c r="A3" t="s">
        <v>193</v>
      </c>
      <c r="C3" t="s">
        <v>194</v>
      </c>
      <c r="F3" t="s">
        <v>194</v>
      </c>
    </row>
    <row r="4" spans="1:18" ht="15.75">
      <c r="A4" s="172">
        <v>33239</v>
      </c>
      <c r="B4" s="172"/>
      <c r="C4">
        <v>1.6485310922012824</v>
      </c>
      <c r="E4" s="172"/>
      <c r="F4">
        <v>3.7061408417537156</v>
      </c>
      <c r="R4" s="156" t="s">
        <v>11</v>
      </c>
    </row>
    <row r="5" spans="1:18" ht="14.25">
      <c r="A5" s="172">
        <v>33270</v>
      </c>
      <c r="B5" s="172"/>
      <c r="C5">
        <v>1.5849010181695862</v>
      </c>
      <c r="E5" s="172"/>
      <c r="F5">
        <v>3.7291394548933976</v>
      </c>
      <c r="L5" s="173"/>
      <c r="R5" s="157" t="s">
        <v>195</v>
      </c>
    </row>
    <row r="6" spans="1:18">
      <c r="A6" s="172">
        <v>33298</v>
      </c>
      <c r="B6" s="172"/>
      <c r="C6">
        <v>1.4425394136064287</v>
      </c>
      <c r="E6" s="172"/>
      <c r="F6">
        <v>3.758327995217412</v>
      </c>
    </row>
    <row r="7" spans="1:18">
      <c r="A7" s="172">
        <v>33329</v>
      </c>
      <c r="B7" s="172"/>
      <c r="C7">
        <v>1.3907121524535402</v>
      </c>
      <c r="E7" s="172"/>
      <c r="F7">
        <v>3.8761531196450698</v>
      </c>
    </row>
    <row r="8" spans="1:18">
      <c r="A8" s="172">
        <v>33359</v>
      </c>
      <c r="B8" s="172"/>
      <c r="C8">
        <v>1.2699589414378885</v>
      </c>
      <c r="E8" s="172"/>
      <c r="F8">
        <v>3.9197069302514222</v>
      </c>
    </row>
    <row r="9" spans="1:18">
      <c r="A9" s="172">
        <v>33390</v>
      </c>
      <c r="B9" s="172"/>
      <c r="C9">
        <v>1.3041790711600456</v>
      </c>
      <c r="E9" s="172"/>
      <c r="F9">
        <v>3.8294943742920613</v>
      </c>
    </row>
    <row r="10" spans="1:18">
      <c r="A10" s="172">
        <v>33420</v>
      </c>
      <c r="B10" s="172"/>
      <c r="C10">
        <v>1.1960864508685141</v>
      </c>
      <c r="E10" s="172"/>
      <c r="F10">
        <v>3.9696833326440366</v>
      </c>
    </row>
    <row r="11" spans="1:18">
      <c r="A11" s="172">
        <v>33451</v>
      </c>
      <c r="B11" s="172"/>
      <c r="C11">
        <v>1.2429448080414331</v>
      </c>
      <c r="E11" s="172"/>
      <c r="F11">
        <v>4.4604033416951401</v>
      </c>
    </row>
    <row r="12" spans="1:18">
      <c r="A12" s="172">
        <v>33482</v>
      </c>
      <c r="B12" s="172"/>
      <c r="C12">
        <v>1.1576218004215415</v>
      </c>
      <c r="E12" s="172"/>
      <c r="F12">
        <v>4.9857110316705224</v>
      </c>
    </row>
    <row r="13" spans="1:18">
      <c r="A13" s="172">
        <v>33512</v>
      </c>
      <c r="B13" s="172"/>
      <c r="C13">
        <v>1.1030812314576131</v>
      </c>
      <c r="E13" s="172"/>
      <c r="F13">
        <v>5.1475746907301305</v>
      </c>
    </row>
    <row r="14" spans="1:18">
      <c r="A14" s="172">
        <v>33543</v>
      </c>
      <c r="B14" s="172"/>
      <c r="C14">
        <v>1.2373244573927953</v>
      </c>
      <c r="E14" s="172"/>
      <c r="F14">
        <v>5.4120086378533987</v>
      </c>
    </row>
    <row r="15" spans="1:18">
      <c r="A15" s="172">
        <v>33573</v>
      </c>
      <c r="B15" s="172"/>
      <c r="C15">
        <v>1.4439023561262243</v>
      </c>
      <c r="E15" s="172"/>
      <c r="F15">
        <v>6.2823271321491214</v>
      </c>
    </row>
    <row r="16" spans="1:18">
      <c r="A16" s="172">
        <v>33604</v>
      </c>
      <c r="B16" s="172"/>
      <c r="C16">
        <v>1.1474077053496783</v>
      </c>
      <c r="E16" s="172"/>
      <c r="F16">
        <v>5.9401564272229299</v>
      </c>
    </row>
    <row r="17" spans="1:6">
      <c r="A17" s="172">
        <v>33635</v>
      </c>
      <c r="B17" s="172"/>
      <c r="C17">
        <v>1.1569746084477099</v>
      </c>
      <c r="E17" s="172"/>
      <c r="F17">
        <v>5.7889722829636874</v>
      </c>
    </row>
    <row r="18" spans="1:6">
      <c r="A18" s="172">
        <v>33664</v>
      </c>
      <c r="B18" s="172"/>
      <c r="C18">
        <v>1.1615455444094818</v>
      </c>
      <c r="E18" s="172"/>
      <c r="F18">
        <v>5.4902499483918339</v>
      </c>
    </row>
    <row r="19" spans="1:6">
      <c r="A19" s="172">
        <v>33695</v>
      </c>
      <c r="B19" s="172"/>
      <c r="C19">
        <v>1.0563060589509512</v>
      </c>
      <c r="E19" s="172"/>
      <c r="F19">
        <v>5.4064606290542923</v>
      </c>
    </row>
    <row r="20" spans="1:6">
      <c r="A20" s="172">
        <v>33725</v>
      </c>
      <c r="B20" s="172"/>
      <c r="C20">
        <v>1.0418937051659531</v>
      </c>
      <c r="E20" s="172"/>
      <c r="F20">
        <v>5.6979284152666301</v>
      </c>
    </row>
    <row r="21" spans="1:6">
      <c r="A21" s="172">
        <v>33756</v>
      </c>
      <c r="B21" s="172"/>
      <c r="C21">
        <v>1.1873561025841668</v>
      </c>
      <c r="E21" s="172"/>
      <c r="F21">
        <v>5.9328448581803652</v>
      </c>
    </row>
    <row r="22" spans="1:6">
      <c r="A22" s="172">
        <v>33786</v>
      </c>
      <c r="B22" s="172"/>
      <c r="C22">
        <v>1.355192297566143</v>
      </c>
      <c r="E22" s="172"/>
      <c r="F22">
        <v>6.3700500483209055</v>
      </c>
    </row>
    <row r="23" spans="1:6">
      <c r="A23" s="172">
        <v>33817</v>
      </c>
      <c r="B23" s="172"/>
      <c r="C23">
        <v>1.6692450611689895</v>
      </c>
      <c r="E23" s="172"/>
      <c r="F23">
        <v>6.4560475792350305</v>
      </c>
    </row>
    <row r="24" spans="1:6">
      <c r="A24" s="172">
        <v>33848</v>
      </c>
      <c r="B24" s="172"/>
      <c r="C24">
        <v>2.0324599927746294</v>
      </c>
      <c r="E24" s="172"/>
      <c r="F24">
        <v>5.2204149323888203</v>
      </c>
    </row>
    <row r="25" spans="1:6">
      <c r="A25" s="172">
        <v>33878</v>
      </c>
      <c r="B25" s="172"/>
      <c r="C25">
        <v>1.5293035940908926</v>
      </c>
      <c r="E25" s="172"/>
      <c r="F25">
        <v>4.765588521831031</v>
      </c>
    </row>
    <row r="26" spans="1:6">
      <c r="A26" s="172">
        <v>33909</v>
      </c>
      <c r="B26" s="172"/>
      <c r="C26">
        <v>1.5730547996626065</v>
      </c>
      <c r="E26" s="172"/>
      <c r="F26">
        <v>4.7099332823704474</v>
      </c>
    </row>
    <row r="27" spans="1:6">
      <c r="A27" s="172">
        <v>33939</v>
      </c>
      <c r="B27" s="172"/>
      <c r="C27">
        <v>1.5820564931119281</v>
      </c>
      <c r="E27" s="172"/>
      <c r="F27">
        <v>5.0167565075710439</v>
      </c>
    </row>
    <row r="28" spans="1:6">
      <c r="A28" s="172">
        <v>33970</v>
      </c>
      <c r="B28" s="172"/>
      <c r="C28">
        <v>1.6259628558205239</v>
      </c>
      <c r="E28" s="172"/>
      <c r="F28">
        <v>5.4032802023246527</v>
      </c>
    </row>
    <row r="29" spans="1:6">
      <c r="A29" s="172">
        <v>34001</v>
      </c>
      <c r="B29" s="172"/>
      <c r="C29">
        <v>1.5774849620445577</v>
      </c>
      <c r="E29" s="172"/>
      <c r="F29">
        <v>5.7952009973521035</v>
      </c>
    </row>
    <row r="30" spans="1:6">
      <c r="A30" s="172">
        <v>34029</v>
      </c>
      <c r="B30" s="172"/>
      <c r="C30">
        <v>1.5907936784597696</v>
      </c>
      <c r="E30" s="172"/>
      <c r="F30">
        <v>5.8634581170154423</v>
      </c>
    </row>
    <row r="31" spans="1:6">
      <c r="A31" s="172">
        <v>34060</v>
      </c>
      <c r="B31" s="172"/>
      <c r="C31">
        <v>1.5210434450879251</v>
      </c>
      <c r="E31" s="172"/>
      <c r="F31">
        <v>5.9391506196066084</v>
      </c>
    </row>
    <row r="32" spans="1:6">
      <c r="A32" s="172">
        <v>34090</v>
      </c>
      <c r="B32" s="172"/>
      <c r="C32">
        <v>1.3109564155070377</v>
      </c>
      <c r="E32" s="172"/>
      <c r="F32">
        <v>5.8939690966193377</v>
      </c>
    </row>
    <row r="33" spans="1:6">
      <c r="A33" s="172">
        <v>34121</v>
      </c>
      <c r="B33" s="172"/>
      <c r="C33">
        <v>1.1750789153394854</v>
      </c>
      <c r="E33" s="172"/>
      <c r="F33">
        <v>6.3044043240385284</v>
      </c>
    </row>
    <row r="34" spans="1:6">
      <c r="A34" s="172">
        <v>34151</v>
      </c>
      <c r="B34" s="172"/>
      <c r="C34">
        <v>0.97879942743133919</v>
      </c>
      <c r="E34" s="172"/>
      <c r="F34">
        <v>6.2079559953425125</v>
      </c>
    </row>
    <row r="35" spans="1:6">
      <c r="A35" s="172">
        <v>34182</v>
      </c>
      <c r="B35" s="172"/>
      <c r="C35">
        <v>0.853779771223378</v>
      </c>
      <c r="E35" s="172"/>
      <c r="F35">
        <v>6.6308713898005109</v>
      </c>
    </row>
    <row r="36" spans="1:6">
      <c r="A36" s="172">
        <v>34213</v>
      </c>
      <c r="B36" s="172"/>
      <c r="C36">
        <v>0.89192980413510925</v>
      </c>
      <c r="E36" s="172"/>
      <c r="F36">
        <v>6.7250921944482958</v>
      </c>
    </row>
    <row r="37" spans="1:6">
      <c r="A37" s="172">
        <v>34243</v>
      </c>
      <c r="B37" s="172"/>
      <c r="C37">
        <v>0.78105738109592615</v>
      </c>
      <c r="E37" s="172"/>
      <c r="F37">
        <v>6.7404545629895392</v>
      </c>
    </row>
    <row r="38" spans="1:6">
      <c r="A38" s="172">
        <v>34274</v>
      </c>
      <c r="B38" s="172"/>
      <c r="C38">
        <v>0.62409688041161626</v>
      </c>
      <c r="E38" s="172"/>
      <c r="F38">
        <v>6.403707817060873</v>
      </c>
    </row>
    <row r="39" spans="1:6">
      <c r="A39" s="172">
        <v>34304</v>
      </c>
      <c r="B39" s="172"/>
      <c r="C39">
        <v>0.43448034734219559</v>
      </c>
      <c r="E39" s="172"/>
      <c r="F39">
        <v>53.187472517923567</v>
      </c>
    </row>
    <row r="40" spans="1:6">
      <c r="A40" s="172">
        <v>34335</v>
      </c>
      <c r="B40" s="172"/>
      <c r="C40">
        <v>0.42285416942810122</v>
      </c>
      <c r="E40" s="172"/>
      <c r="F40">
        <v>52.791970974233713</v>
      </c>
    </row>
    <row r="41" spans="1:6">
      <c r="A41" s="172">
        <v>34366</v>
      </c>
      <c r="B41" s="172"/>
      <c r="C41">
        <v>0.48908740074545914</v>
      </c>
      <c r="E41" s="172"/>
      <c r="F41">
        <v>58.902223337165822</v>
      </c>
    </row>
    <row r="42" spans="1:6">
      <c r="A42" s="172">
        <v>34394</v>
      </c>
      <c r="B42" s="172"/>
      <c r="C42">
        <v>0.53834645477683563</v>
      </c>
      <c r="E42" s="172"/>
      <c r="F42">
        <v>116.06856961269445</v>
      </c>
    </row>
    <row r="43" spans="1:6">
      <c r="A43" s="172">
        <v>34425</v>
      </c>
      <c r="B43" s="172"/>
      <c r="C43">
        <v>0.55927657367678629</v>
      </c>
      <c r="E43" s="172"/>
      <c r="F43">
        <v>199.91735971549667</v>
      </c>
    </row>
    <row r="44" spans="1:6">
      <c r="A44" s="172">
        <v>34455</v>
      </c>
      <c r="B44" s="172"/>
      <c r="C44">
        <v>0.6840186374654913</v>
      </c>
      <c r="E44" s="172"/>
      <c r="F44">
        <v>204.07916956466212</v>
      </c>
    </row>
    <row r="45" spans="1:6">
      <c r="A45" s="172">
        <v>34486</v>
      </c>
      <c r="B45" s="172"/>
      <c r="C45">
        <v>0.92947442489532528</v>
      </c>
      <c r="E45" s="172"/>
      <c r="F45">
        <v>194.74597610120838</v>
      </c>
    </row>
    <row r="46" spans="1:6">
      <c r="A46" s="172">
        <v>34516</v>
      </c>
      <c r="B46" s="172"/>
      <c r="C46">
        <v>1.1427426628067183</v>
      </c>
      <c r="E46" s="172"/>
      <c r="F46">
        <v>192.36791325600259</v>
      </c>
    </row>
    <row r="47" spans="1:6">
      <c r="A47" s="172">
        <v>34547</v>
      </c>
      <c r="B47" s="172"/>
      <c r="C47">
        <v>1.1720376852108243</v>
      </c>
      <c r="E47" s="172"/>
      <c r="F47">
        <v>164.24287926741849</v>
      </c>
    </row>
    <row r="48" spans="1:6">
      <c r="A48" s="172">
        <v>34578</v>
      </c>
      <c r="B48" s="172"/>
      <c r="C48">
        <v>0.94965847873933529</v>
      </c>
      <c r="E48" s="172"/>
      <c r="F48">
        <v>157.35449797853735</v>
      </c>
    </row>
    <row r="49" spans="1:6">
      <c r="A49" s="172">
        <v>34608</v>
      </c>
      <c r="B49" s="172"/>
      <c r="C49">
        <v>0.94055810689588382</v>
      </c>
      <c r="E49" s="172"/>
      <c r="F49">
        <v>163.42567263048051</v>
      </c>
    </row>
    <row r="50" spans="1:6">
      <c r="A50" s="172">
        <v>34639</v>
      </c>
      <c r="B50" s="172"/>
      <c r="C50">
        <v>0.95245867110766935</v>
      </c>
      <c r="E50" s="172"/>
      <c r="F50">
        <v>168.6151964245602</v>
      </c>
    </row>
    <row r="51" spans="1:6">
      <c r="A51" s="172">
        <v>34669</v>
      </c>
      <c r="B51" s="172"/>
      <c r="C51">
        <v>0.89393219321771145</v>
      </c>
      <c r="E51" s="172"/>
      <c r="F51">
        <v>171.95095495547349</v>
      </c>
    </row>
    <row r="52" spans="1:6">
      <c r="A52" s="172">
        <v>34700</v>
      </c>
      <c r="B52" s="172"/>
      <c r="C52">
        <v>1.0781895590427131</v>
      </c>
      <c r="E52" s="172"/>
      <c r="F52">
        <v>212.63248454311693</v>
      </c>
    </row>
    <row r="53" spans="1:6">
      <c r="A53" s="172">
        <v>34731</v>
      </c>
      <c r="B53" s="172"/>
      <c r="C53">
        <v>1.1672893091553518</v>
      </c>
      <c r="E53" s="172"/>
      <c r="F53">
        <v>231.84953296049639</v>
      </c>
    </row>
    <row r="54" spans="1:6">
      <c r="A54" s="172">
        <v>34759</v>
      </c>
      <c r="B54" s="172"/>
      <c r="C54">
        <v>1.2359045130611443</v>
      </c>
      <c r="E54" s="172"/>
      <c r="F54">
        <v>259.32446335976334</v>
      </c>
    </row>
    <row r="55" spans="1:6">
      <c r="A55" s="172">
        <v>34790</v>
      </c>
      <c r="B55" s="172"/>
      <c r="C55">
        <v>1.1644929926980878</v>
      </c>
      <c r="E55" s="172"/>
      <c r="F55">
        <v>225.37503793976558</v>
      </c>
    </row>
    <row r="56" spans="1:6">
      <c r="A56" s="172">
        <v>34820</v>
      </c>
      <c r="B56" s="172"/>
      <c r="C56">
        <v>1.2249891970533433</v>
      </c>
      <c r="E56" s="172"/>
      <c r="F56">
        <v>202.10281524165219</v>
      </c>
    </row>
    <row r="57" spans="1:6">
      <c r="A57" s="172">
        <v>34851</v>
      </c>
      <c r="B57" s="172"/>
      <c r="C57">
        <v>1.2780602694606502</v>
      </c>
      <c r="E57" s="172"/>
      <c r="F57">
        <v>212.45989765497919</v>
      </c>
    </row>
    <row r="58" spans="1:6">
      <c r="A58" s="172">
        <v>34881</v>
      </c>
      <c r="B58" s="172"/>
      <c r="C58">
        <v>1.1475125510245934</v>
      </c>
      <c r="E58" s="172"/>
      <c r="F58">
        <v>205.41538950779619</v>
      </c>
    </row>
    <row r="59" spans="1:6">
      <c r="A59" s="172">
        <v>34912</v>
      </c>
      <c r="B59" s="172"/>
      <c r="C59">
        <v>1.1117661863239718</v>
      </c>
      <c r="E59" s="172"/>
      <c r="F59">
        <v>202.53400539031463</v>
      </c>
    </row>
    <row r="60" spans="1:6">
      <c r="A60" s="172">
        <v>34943</v>
      </c>
      <c r="B60" s="172"/>
      <c r="C60">
        <v>1.0719084300147528</v>
      </c>
      <c r="E60" s="172"/>
      <c r="F60">
        <v>197.46739462298103</v>
      </c>
    </row>
    <row r="61" spans="1:6">
      <c r="A61" s="172">
        <v>34973</v>
      </c>
      <c r="B61" s="172"/>
      <c r="C61">
        <v>1.1804510791900391</v>
      </c>
      <c r="E61" s="172"/>
      <c r="F61">
        <v>204.95664500654908</v>
      </c>
    </row>
    <row r="62" spans="1:6">
      <c r="A62" s="172">
        <v>35004</v>
      </c>
      <c r="B62" s="172"/>
      <c r="C62">
        <v>1.0634326921073896</v>
      </c>
      <c r="E62" s="172"/>
      <c r="F62">
        <v>216.51773025630237</v>
      </c>
    </row>
    <row r="63" spans="1:6">
      <c r="A63" s="172">
        <v>35034</v>
      </c>
      <c r="B63" s="172"/>
      <c r="C63">
        <v>1.0971768213334263</v>
      </c>
      <c r="E63" s="172"/>
      <c r="F63">
        <v>201.93760203955136</v>
      </c>
    </row>
    <row r="64" spans="1:6">
      <c r="A64" s="172">
        <v>35065</v>
      </c>
      <c r="B64" s="172"/>
      <c r="C64">
        <v>1.0332572136171079</v>
      </c>
      <c r="E64" s="172"/>
      <c r="F64">
        <v>183.51571671892532</v>
      </c>
    </row>
    <row r="65" spans="1:6">
      <c r="A65" s="172">
        <v>35096</v>
      </c>
      <c r="B65" s="172"/>
      <c r="C65">
        <v>0.88338682158348225</v>
      </c>
      <c r="E65" s="172"/>
      <c r="F65">
        <v>170.55374772601803</v>
      </c>
    </row>
    <row r="66" spans="1:6">
      <c r="A66" s="172">
        <v>35125</v>
      </c>
      <c r="B66" s="172"/>
      <c r="C66">
        <v>0.79515868716253102</v>
      </c>
      <c r="E66" s="172"/>
      <c r="F66">
        <v>182.04117392107736</v>
      </c>
    </row>
    <row r="67" spans="1:6">
      <c r="A67" s="172">
        <v>35156</v>
      </c>
      <c r="B67" s="172"/>
      <c r="C67">
        <v>0.5109724970521845</v>
      </c>
      <c r="E67" s="172"/>
      <c r="F67">
        <v>170.80318878801233</v>
      </c>
    </row>
    <row r="68" spans="1:6">
      <c r="A68" s="172">
        <v>35186</v>
      </c>
      <c r="B68" s="172"/>
      <c r="C68">
        <v>0.38609019059647642</v>
      </c>
      <c r="E68" s="172"/>
      <c r="F68">
        <v>157.70855546893242</v>
      </c>
    </row>
    <row r="69" spans="1:6">
      <c r="A69" s="172">
        <v>35217</v>
      </c>
      <c r="B69" s="172"/>
      <c r="C69">
        <v>0.34631520854781472</v>
      </c>
      <c r="E69" s="172"/>
      <c r="F69">
        <v>152.82087631466743</v>
      </c>
    </row>
    <row r="70" spans="1:6">
      <c r="A70" s="172">
        <v>35247</v>
      </c>
      <c r="B70" s="172"/>
      <c r="C70">
        <v>0.34134732521104283</v>
      </c>
      <c r="E70" s="172"/>
      <c r="F70">
        <v>141.19426771195555</v>
      </c>
    </row>
    <row r="71" spans="1:6">
      <c r="A71" s="172">
        <v>35278</v>
      </c>
      <c r="B71" s="172"/>
      <c r="C71">
        <v>0.17702850764201417</v>
      </c>
      <c r="E71" s="172"/>
      <c r="F71">
        <v>134.94923321749832</v>
      </c>
    </row>
    <row r="72" spans="1:6">
      <c r="A72" s="172">
        <v>35309</v>
      </c>
      <c r="B72" s="172"/>
      <c r="C72">
        <v>5.4080935539527628E-2</v>
      </c>
      <c r="E72" s="172"/>
      <c r="F72">
        <v>120.37442299962508</v>
      </c>
    </row>
    <row r="73" spans="1:6">
      <c r="A73" s="172">
        <v>35339</v>
      </c>
      <c r="B73" s="172"/>
      <c r="C73">
        <v>6.0856391148393182E-2</v>
      </c>
      <c r="E73" s="172"/>
      <c r="F73">
        <v>114.7107039168954</v>
      </c>
    </row>
    <row r="74" spans="1:6">
      <c r="A74" s="172">
        <v>35370</v>
      </c>
      <c r="B74" s="172"/>
      <c r="C74">
        <v>7.4739056375341895E-2</v>
      </c>
      <c r="E74" s="172"/>
      <c r="F74">
        <v>113.11550714513845</v>
      </c>
    </row>
    <row r="75" spans="1:6">
      <c r="A75" s="172">
        <v>35400</v>
      </c>
      <c r="B75" s="172"/>
      <c r="C75">
        <v>-4.8550652706565937E-2</v>
      </c>
      <c r="E75" s="172"/>
      <c r="F75">
        <v>97.470964914881137</v>
      </c>
    </row>
    <row r="76" spans="1:6">
      <c r="A76" s="172">
        <v>35431</v>
      </c>
      <c r="B76" s="172"/>
      <c r="C76">
        <v>-0.17038631395544773</v>
      </c>
      <c r="E76" s="172"/>
      <c r="F76">
        <v>89.813035053764224</v>
      </c>
    </row>
    <row r="77" spans="1:6">
      <c r="A77" s="172">
        <v>35462</v>
      </c>
      <c r="B77" s="172"/>
      <c r="C77">
        <v>-0.12580003565445255</v>
      </c>
      <c r="E77" s="172"/>
      <c r="F77">
        <v>80.07711267359862</v>
      </c>
    </row>
    <row r="78" spans="1:6">
      <c r="A78" s="172">
        <v>35490</v>
      </c>
      <c r="B78" s="172"/>
      <c r="C78">
        <v>-0.24282330710351885</v>
      </c>
      <c r="E78" s="172"/>
      <c r="F78">
        <v>82.56866589843608</v>
      </c>
    </row>
    <row r="79" spans="1:6">
      <c r="A79" s="172">
        <v>35521</v>
      </c>
      <c r="B79" s="172"/>
      <c r="C79">
        <v>-0.17313557415145839</v>
      </c>
      <c r="E79" s="172"/>
      <c r="F79">
        <v>88.719445427783327</v>
      </c>
    </row>
    <row r="80" spans="1:6">
      <c r="A80" s="172">
        <v>35551</v>
      </c>
      <c r="B80" s="172"/>
      <c r="C80">
        <v>-0.28483649946037032</v>
      </c>
      <c r="E80" s="172"/>
      <c r="F80">
        <v>83.379921341023689</v>
      </c>
    </row>
    <row r="81" spans="1:6">
      <c r="A81" s="172">
        <v>35582</v>
      </c>
      <c r="B81" s="172"/>
      <c r="C81">
        <v>-0.32641654778482981</v>
      </c>
      <c r="E81" s="172"/>
      <c r="F81">
        <v>81.502055187289074</v>
      </c>
    </row>
    <row r="82" spans="1:6">
      <c r="A82" s="172">
        <v>35612</v>
      </c>
      <c r="B82" s="172"/>
      <c r="C82">
        <v>-0.23202786600910502</v>
      </c>
      <c r="E82" s="172"/>
      <c r="F82">
        <v>82.127897526386292</v>
      </c>
    </row>
    <row r="83" spans="1:6">
      <c r="A83" s="172">
        <v>35643</v>
      </c>
      <c r="B83" s="172"/>
      <c r="C83">
        <v>-0.47868706597563265</v>
      </c>
      <c r="E83" s="172"/>
      <c r="F83">
        <v>78.28242294758742</v>
      </c>
    </row>
    <row r="84" spans="1:6">
      <c r="A84" s="172">
        <v>35674</v>
      </c>
      <c r="B84" s="172"/>
      <c r="C84">
        <v>-0.53330530526801778</v>
      </c>
      <c r="E84" s="172"/>
      <c r="F84">
        <v>86.920428702958787</v>
      </c>
    </row>
    <row r="85" spans="1:6">
      <c r="A85" s="172">
        <v>35704</v>
      </c>
      <c r="B85" s="172"/>
      <c r="C85">
        <v>-0.42522649819179187</v>
      </c>
      <c r="E85" s="172"/>
      <c r="F85">
        <v>96.429254764749004</v>
      </c>
    </row>
    <row r="86" spans="1:6">
      <c r="A86" s="172">
        <v>35735</v>
      </c>
      <c r="B86" s="172"/>
      <c r="C86">
        <v>-0.4103928981604838</v>
      </c>
      <c r="E86" s="172"/>
      <c r="F86">
        <v>120.08581625698716</v>
      </c>
    </row>
    <row r="87" spans="1:6">
      <c r="A87" s="172">
        <v>35765</v>
      </c>
      <c r="B87" s="172"/>
      <c r="C87">
        <v>-0.25216585166392741</v>
      </c>
      <c r="E87" s="172"/>
      <c r="F87">
        <v>135.7460625922578</v>
      </c>
    </row>
    <row r="88" spans="1:6">
      <c r="A88" s="172">
        <v>35796</v>
      </c>
      <c r="B88" s="172"/>
      <c r="C88">
        <v>-0.26780888754223042</v>
      </c>
      <c r="E88" s="172"/>
      <c r="F88">
        <v>147.63617425613907</v>
      </c>
    </row>
    <row r="89" spans="1:6">
      <c r="A89" s="172">
        <v>35827</v>
      </c>
      <c r="B89" s="172"/>
      <c r="C89">
        <v>-0.3101733990089251</v>
      </c>
      <c r="E89" s="172"/>
      <c r="F89">
        <v>146.90974678945673</v>
      </c>
    </row>
    <row r="90" spans="1:6">
      <c r="A90" s="172">
        <v>35855</v>
      </c>
      <c r="B90" s="172"/>
      <c r="C90">
        <v>-0.41996925103279975</v>
      </c>
      <c r="E90" s="172"/>
      <c r="F90">
        <v>141.46313467954295</v>
      </c>
    </row>
    <row r="91" spans="1:6">
      <c r="A91" s="172">
        <v>35886</v>
      </c>
      <c r="B91" s="172"/>
      <c r="C91">
        <v>-0.4843661442545672</v>
      </c>
      <c r="E91" s="172"/>
      <c r="F91">
        <v>143.4154724160436</v>
      </c>
    </row>
    <row r="92" spans="1:6">
      <c r="A92" s="172">
        <v>35916</v>
      </c>
      <c r="B92" s="172"/>
      <c r="C92">
        <v>-0.49164307654403888</v>
      </c>
      <c r="E92" s="172"/>
      <c r="F92">
        <v>152.84461136347073</v>
      </c>
    </row>
    <row r="93" spans="1:6">
      <c r="A93" s="172">
        <v>35947</v>
      </c>
      <c r="B93" s="172"/>
      <c r="C93">
        <v>-0.38171540609323706</v>
      </c>
      <c r="E93" s="172"/>
      <c r="F93">
        <v>166.62404262521156</v>
      </c>
    </row>
    <row r="94" spans="1:6">
      <c r="A94" s="172">
        <v>35977</v>
      </c>
      <c r="B94" s="172"/>
      <c r="C94">
        <v>-0.40413256498168809</v>
      </c>
      <c r="E94" s="172"/>
      <c r="F94">
        <v>168.13452777012293</v>
      </c>
    </row>
    <row r="95" spans="1:6">
      <c r="A95" s="172">
        <v>36008</v>
      </c>
      <c r="B95" s="172"/>
      <c r="C95">
        <v>-0.14545475182247011</v>
      </c>
      <c r="E95" s="172"/>
      <c r="F95">
        <v>336.99539052616331</v>
      </c>
    </row>
    <row r="96" spans="1:6">
      <c r="A96" s="172">
        <v>36039</v>
      </c>
      <c r="B96" s="172"/>
      <c r="C96">
        <v>-0.12336951814460129</v>
      </c>
      <c r="E96" s="172"/>
      <c r="F96">
        <v>344.25402650817426</v>
      </c>
    </row>
    <row r="97" spans="1:6">
      <c r="A97" s="172">
        <v>36069</v>
      </c>
      <c r="B97" s="172"/>
      <c r="C97">
        <v>-0.25823230691321986</v>
      </c>
      <c r="E97" s="172"/>
      <c r="F97">
        <v>278.10050562326262</v>
      </c>
    </row>
    <row r="98" spans="1:6">
      <c r="A98" s="172">
        <v>36100</v>
      </c>
      <c r="B98" s="172"/>
      <c r="C98">
        <v>-0.31257987775630836</v>
      </c>
      <c r="E98" s="172"/>
      <c r="F98">
        <v>250.67979448794222</v>
      </c>
    </row>
    <row r="99" spans="1:6">
      <c r="A99" s="172">
        <v>36130</v>
      </c>
      <c r="B99" s="172"/>
      <c r="C99">
        <v>-8.4909108966788424E-2</v>
      </c>
      <c r="E99" s="172"/>
      <c r="F99">
        <v>260.26162922142345</v>
      </c>
    </row>
    <row r="100" spans="1:6">
      <c r="A100" s="172">
        <v>36161</v>
      </c>
      <c r="B100" s="172"/>
      <c r="C100">
        <v>-0.25915850166684645</v>
      </c>
      <c r="E100" s="172"/>
      <c r="F100">
        <v>290.74503056545205</v>
      </c>
    </row>
    <row r="101" spans="1:6">
      <c r="A101" s="172">
        <v>36192</v>
      </c>
      <c r="B101" s="172"/>
      <c r="C101">
        <v>-0.4753239722586024</v>
      </c>
      <c r="E101" s="172"/>
      <c r="F101">
        <v>291.25822724759405</v>
      </c>
    </row>
    <row r="102" spans="1:6">
      <c r="A102" s="172">
        <v>36220</v>
      </c>
      <c r="B102" s="172"/>
      <c r="C102">
        <v>-0.54007580697043356</v>
      </c>
      <c r="E102" s="172"/>
      <c r="F102">
        <v>250.77096566715792</v>
      </c>
    </row>
    <row r="103" spans="1:6">
      <c r="A103" s="172">
        <v>36251</v>
      </c>
      <c r="B103" s="172"/>
      <c r="C103">
        <v>-0.56236881785768433</v>
      </c>
      <c r="E103" s="172"/>
      <c r="F103">
        <v>215.15353488106479</v>
      </c>
    </row>
    <row r="104" spans="1:6">
      <c r="A104" s="172">
        <v>36281</v>
      </c>
      <c r="B104" s="172"/>
      <c r="C104">
        <v>-0.57609632624616991</v>
      </c>
      <c r="E104" s="172"/>
      <c r="F104">
        <v>240.34979065213437</v>
      </c>
    </row>
    <row r="105" spans="1:6">
      <c r="A105" s="172">
        <v>36312</v>
      </c>
      <c r="B105" s="172"/>
      <c r="C105">
        <v>-0.57414454496188128</v>
      </c>
      <c r="E105" s="172"/>
      <c r="F105">
        <v>222.91786189150699</v>
      </c>
    </row>
    <row r="106" spans="1:6">
      <c r="A106" s="172">
        <v>36342</v>
      </c>
      <c r="B106" s="172"/>
      <c r="C106">
        <v>-0.57087793542048892</v>
      </c>
      <c r="E106" s="172"/>
      <c r="F106">
        <v>240.75398661903657</v>
      </c>
    </row>
    <row r="107" spans="1:6">
      <c r="A107" s="172">
        <v>36373</v>
      </c>
      <c r="B107" s="172"/>
      <c r="C107">
        <v>-0.62367278751915145</v>
      </c>
      <c r="E107" s="172"/>
      <c r="F107">
        <v>254.11030143607522</v>
      </c>
    </row>
    <row r="108" spans="1:6">
      <c r="A108" s="172">
        <v>36404</v>
      </c>
      <c r="B108" s="172"/>
      <c r="C108">
        <v>-0.58889854293945332</v>
      </c>
      <c r="E108" s="172"/>
      <c r="F108">
        <v>236.89250076681256</v>
      </c>
    </row>
    <row r="109" spans="1:6">
      <c r="A109" s="172">
        <v>36434</v>
      </c>
      <c r="B109" s="172"/>
      <c r="C109">
        <v>-0.58285044091833549</v>
      </c>
      <c r="E109" s="172"/>
      <c r="F109">
        <v>209.83264661748348</v>
      </c>
    </row>
    <row r="110" spans="1:6">
      <c r="A110" s="172">
        <v>36465</v>
      </c>
      <c r="B110" s="172"/>
      <c r="C110">
        <v>-0.66384557417795143</v>
      </c>
      <c r="E110" s="172"/>
      <c r="F110">
        <v>188.848762273695</v>
      </c>
    </row>
    <row r="111" spans="1:6">
      <c r="A111" s="172">
        <v>36495</v>
      </c>
      <c r="B111" s="172"/>
      <c r="C111">
        <v>-0.68539147247647159</v>
      </c>
      <c r="E111" s="172"/>
      <c r="F111">
        <v>170.24166547327923</v>
      </c>
    </row>
    <row r="112" spans="1:6">
      <c r="A112" s="172">
        <v>36526</v>
      </c>
      <c r="B112" s="172"/>
      <c r="C112">
        <v>-0.86040609805485269</v>
      </c>
      <c r="E112" s="172"/>
      <c r="F112">
        <v>182.82470948782031</v>
      </c>
    </row>
    <row r="113" spans="1:6">
      <c r="A113" s="172">
        <v>36557</v>
      </c>
      <c r="B113" s="172"/>
      <c r="C113">
        <v>-0.80282089697251902</v>
      </c>
      <c r="E113" s="172"/>
      <c r="F113">
        <v>168.26685548937417</v>
      </c>
    </row>
    <row r="114" spans="1:6">
      <c r="A114" s="172">
        <v>36586</v>
      </c>
      <c r="B114" s="172"/>
      <c r="C114">
        <v>-0.66984860681585634</v>
      </c>
      <c r="E114" s="172"/>
      <c r="F114">
        <v>170.41436445790993</v>
      </c>
    </row>
    <row r="115" spans="1:6">
      <c r="A115" s="172">
        <v>36617</v>
      </c>
      <c r="B115" s="172"/>
      <c r="C115">
        <v>-0.78294347469828873</v>
      </c>
      <c r="E115" s="172"/>
      <c r="F115">
        <v>190.50018531547451</v>
      </c>
    </row>
    <row r="116" spans="1:6">
      <c r="A116" s="172">
        <v>36647</v>
      </c>
      <c r="B116" s="172"/>
      <c r="C116">
        <v>-0.79369230138670965</v>
      </c>
      <c r="E116" s="172"/>
      <c r="F116">
        <v>203.27013486789346</v>
      </c>
    </row>
    <row r="117" spans="1:6">
      <c r="A117" s="172">
        <v>36678</v>
      </c>
      <c r="B117" s="172"/>
      <c r="C117">
        <v>-0.6750112964618592</v>
      </c>
      <c r="E117" s="172"/>
      <c r="F117">
        <v>196.82997318003709</v>
      </c>
    </row>
    <row r="118" spans="1:6">
      <c r="A118" s="172">
        <v>36708</v>
      </c>
      <c r="B118" s="172"/>
      <c r="C118">
        <v>-0.68711609829684017</v>
      </c>
      <c r="E118" s="172"/>
      <c r="F118">
        <v>186.94069333758802</v>
      </c>
    </row>
    <row r="119" spans="1:6">
      <c r="A119" s="172">
        <v>36739</v>
      </c>
      <c r="B119" s="172"/>
      <c r="C119">
        <v>-0.50235626709056957</v>
      </c>
      <c r="E119" s="172"/>
      <c r="F119">
        <v>177.278776758443</v>
      </c>
    </row>
    <row r="120" spans="1:6">
      <c r="A120" s="172">
        <v>36770</v>
      </c>
      <c r="B120" s="172"/>
      <c r="C120">
        <v>-0.55140402501907848</v>
      </c>
      <c r="E120" s="172"/>
      <c r="F120">
        <v>179.15661187959765</v>
      </c>
    </row>
    <row r="121" spans="1:6">
      <c r="A121" s="172">
        <v>36800</v>
      </c>
      <c r="B121" s="172"/>
      <c r="C121">
        <v>-0.5652236324731601</v>
      </c>
      <c r="E121" s="172"/>
      <c r="F121">
        <v>191.20287371247204</v>
      </c>
    </row>
    <row r="122" spans="1:6">
      <c r="A122" s="172">
        <v>36831</v>
      </c>
      <c r="B122" s="172"/>
      <c r="C122">
        <v>-0.56307001037649629</v>
      </c>
      <c r="E122" s="172"/>
      <c r="F122">
        <v>198.12449395475002</v>
      </c>
    </row>
    <row r="123" spans="1:6">
      <c r="A123" s="172">
        <v>36861</v>
      </c>
      <c r="B123" s="172"/>
      <c r="C123">
        <v>-0.41461965500425874</v>
      </c>
      <c r="E123" s="172"/>
      <c r="F123">
        <v>194.16895684742008</v>
      </c>
    </row>
    <row r="124" spans="1:6">
      <c r="A124" s="172">
        <v>36892</v>
      </c>
      <c r="B124" s="172"/>
      <c r="C124">
        <v>-0.49694141841321066</v>
      </c>
      <c r="E124" s="172"/>
      <c r="F124">
        <v>180.92855726957723</v>
      </c>
    </row>
    <row r="125" spans="1:6">
      <c r="A125" s="172">
        <v>36923</v>
      </c>
      <c r="B125" s="172"/>
      <c r="C125">
        <v>-0.40923742736328811</v>
      </c>
      <c r="E125" s="172"/>
      <c r="F125">
        <v>190.94321158795694</v>
      </c>
    </row>
    <row r="126" spans="1:6">
      <c r="A126" s="172">
        <v>36951</v>
      </c>
      <c r="B126" s="172"/>
      <c r="C126">
        <v>-0.43105837132612945</v>
      </c>
      <c r="E126" s="172"/>
      <c r="F126">
        <v>189.56279602176056</v>
      </c>
    </row>
    <row r="127" spans="1:6">
      <c r="A127" s="172">
        <v>36982</v>
      </c>
      <c r="B127" s="172"/>
      <c r="C127">
        <v>-0.55540447493880007</v>
      </c>
      <c r="E127" s="172"/>
      <c r="F127">
        <v>188.80838824039037</v>
      </c>
    </row>
    <row r="128" spans="1:6">
      <c r="A128" s="172">
        <v>37012</v>
      </c>
      <c r="B128" s="172"/>
      <c r="C128">
        <v>-0.60639312512931054</v>
      </c>
      <c r="E128" s="172"/>
      <c r="F128">
        <v>178.84918079241498</v>
      </c>
    </row>
    <row r="129" spans="1:6">
      <c r="A129" s="172">
        <v>37043</v>
      </c>
      <c r="B129" s="172"/>
      <c r="C129">
        <v>-0.5935910770747852</v>
      </c>
      <c r="E129" s="172"/>
      <c r="F129">
        <v>176.13377395228193</v>
      </c>
    </row>
    <row r="130" spans="1:6">
      <c r="A130" s="172">
        <v>37073</v>
      </c>
      <c r="B130" s="172"/>
      <c r="C130">
        <v>-0.48350314807509032</v>
      </c>
      <c r="E130" s="172"/>
      <c r="F130">
        <v>193.52556280621093</v>
      </c>
    </row>
    <row r="131" spans="1:6">
      <c r="A131" s="172">
        <v>37104</v>
      </c>
      <c r="B131" s="172"/>
      <c r="C131">
        <v>-0.44554064975292829</v>
      </c>
      <c r="E131" s="172"/>
      <c r="F131">
        <v>193.89848636108877</v>
      </c>
    </row>
    <row r="132" spans="1:6">
      <c r="A132" s="172">
        <v>37135</v>
      </c>
      <c r="B132" s="172"/>
      <c r="C132">
        <v>-0.36482998570840824</v>
      </c>
      <c r="E132" s="172"/>
      <c r="F132">
        <v>220.01392950555089</v>
      </c>
    </row>
    <row r="133" spans="1:6">
      <c r="A133" s="172">
        <v>37165</v>
      </c>
      <c r="B133" s="172"/>
      <c r="C133">
        <v>-0.25415444754365235</v>
      </c>
      <c r="E133" s="172"/>
      <c r="F133">
        <v>221.3398318989496</v>
      </c>
    </row>
    <row r="134" spans="1:6">
      <c r="A134" s="172">
        <v>37196</v>
      </c>
      <c r="B134" s="172"/>
      <c r="C134">
        <v>-0.37007039959496579</v>
      </c>
      <c r="E134" s="172"/>
      <c r="F134">
        <v>215.30090883292638</v>
      </c>
    </row>
    <row r="135" spans="1:6">
      <c r="A135" s="172">
        <v>37226</v>
      </c>
      <c r="B135" s="172"/>
      <c r="C135">
        <v>-0.46949821107109074</v>
      </c>
      <c r="E135" s="172"/>
      <c r="F135">
        <v>218.63592106473334</v>
      </c>
    </row>
    <row r="136" spans="1:6">
      <c r="A136" s="172">
        <v>37257</v>
      </c>
      <c r="B136" s="172"/>
      <c r="C136">
        <v>-0.44889161756239404</v>
      </c>
      <c r="E136" s="172"/>
      <c r="F136">
        <v>222.32393890038037</v>
      </c>
    </row>
    <row r="137" spans="1:6">
      <c r="A137" s="172">
        <v>37288</v>
      </c>
      <c r="B137" s="172"/>
      <c r="C137">
        <v>-0.35384588617814972</v>
      </c>
      <c r="E137" s="172"/>
      <c r="F137">
        <v>217.73963475468292</v>
      </c>
    </row>
    <row r="138" spans="1:6">
      <c r="A138" s="172">
        <v>37316</v>
      </c>
      <c r="B138" s="172"/>
      <c r="C138">
        <v>-0.50152902283620482</v>
      </c>
      <c r="E138" s="172"/>
      <c r="F138">
        <v>221.33946052294783</v>
      </c>
    </row>
    <row r="139" spans="1:6">
      <c r="A139" s="172">
        <v>37347</v>
      </c>
      <c r="B139" s="172"/>
      <c r="C139">
        <v>-0.41208318260548604</v>
      </c>
      <c r="E139" s="172"/>
      <c r="F139">
        <v>219.62449974044441</v>
      </c>
    </row>
    <row r="140" spans="1:6">
      <c r="A140" s="172">
        <v>37377</v>
      </c>
      <c r="B140" s="172"/>
      <c r="C140">
        <v>-0.39512492291600254</v>
      </c>
      <c r="E140" s="172"/>
      <c r="F140">
        <v>245.73408944928838</v>
      </c>
    </row>
    <row r="141" spans="1:6">
      <c r="A141" s="172">
        <v>37408</v>
      </c>
      <c r="B141" s="172"/>
      <c r="C141">
        <v>-0.37045263472124801</v>
      </c>
      <c r="E141" s="172"/>
      <c r="F141">
        <v>302.01937601440153</v>
      </c>
    </row>
    <row r="142" spans="1:6">
      <c r="A142" s="172">
        <v>37438</v>
      </c>
      <c r="B142" s="172"/>
      <c r="C142">
        <v>-0.27316757425652005</v>
      </c>
      <c r="E142" s="172"/>
      <c r="F142">
        <v>357.15273829328885</v>
      </c>
    </row>
    <row r="143" spans="1:6">
      <c r="A143" s="172">
        <v>37469</v>
      </c>
      <c r="B143" s="172"/>
      <c r="C143">
        <v>-0.16227557728016412</v>
      </c>
      <c r="E143" s="172"/>
      <c r="F143">
        <v>309.23831842057433</v>
      </c>
    </row>
    <row r="144" spans="1:6">
      <c r="A144" s="172">
        <v>37500</v>
      </c>
      <c r="B144" s="172"/>
      <c r="C144">
        <v>-1.790594468580169E-2</v>
      </c>
      <c r="E144" s="172"/>
      <c r="F144">
        <v>346.39665806936677</v>
      </c>
    </row>
    <row r="145" spans="1:6">
      <c r="A145" s="172">
        <v>37530</v>
      </c>
      <c r="B145" s="172"/>
      <c r="C145">
        <v>-0.17746331605396454</v>
      </c>
      <c r="E145" s="172"/>
      <c r="F145">
        <v>298.20096225376392</v>
      </c>
    </row>
    <row r="146" spans="1:6">
      <c r="A146" s="172">
        <v>37561</v>
      </c>
      <c r="B146" s="172"/>
      <c r="C146">
        <v>-0.30516590744145833</v>
      </c>
      <c r="E146" s="172"/>
      <c r="F146">
        <v>281.48367937121935</v>
      </c>
    </row>
    <row r="147" spans="1:6">
      <c r="A147" s="172">
        <v>37591</v>
      </c>
      <c r="B147" s="172"/>
      <c r="C147">
        <v>-0.24990824803393311</v>
      </c>
      <c r="E147" s="172"/>
      <c r="F147">
        <v>270.19478192889437</v>
      </c>
    </row>
    <row r="148" spans="1:6">
      <c r="A148" s="172">
        <v>37622</v>
      </c>
      <c r="B148" s="172"/>
      <c r="C148">
        <v>-0.32225659910399629</v>
      </c>
      <c r="E148" s="172"/>
      <c r="F148">
        <v>253.35956763561268</v>
      </c>
    </row>
    <row r="149" spans="1:6">
      <c r="A149" s="172">
        <v>37653</v>
      </c>
      <c r="B149" s="172"/>
      <c r="C149">
        <v>-0.25172544218339032</v>
      </c>
      <c r="E149" s="172"/>
      <c r="F149">
        <v>258.74670589543143</v>
      </c>
    </row>
    <row r="150" spans="1:6">
      <c r="A150" s="172">
        <v>37681</v>
      </c>
      <c r="B150" s="172"/>
      <c r="C150">
        <v>-0.28769954102289524</v>
      </c>
      <c r="E150" s="172"/>
      <c r="F150">
        <v>238.2701889520622</v>
      </c>
    </row>
    <row r="151" spans="1:6">
      <c r="A151" s="172">
        <v>37712</v>
      </c>
      <c r="B151" s="172"/>
      <c r="C151">
        <v>-0.3588245313881202</v>
      </c>
      <c r="E151" s="172"/>
      <c r="F151">
        <v>203.15992472898213</v>
      </c>
    </row>
    <row r="152" spans="1:6">
      <c r="A152" s="172">
        <v>37742</v>
      </c>
      <c r="B152" s="172"/>
      <c r="C152">
        <v>-0.20301564698393434</v>
      </c>
      <c r="E152" s="172"/>
      <c r="F152">
        <v>201.69201084165559</v>
      </c>
    </row>
    <row r="153" spans="1:6">
      <c r="A153" s="172">
        <v>37773</v>
      </c>
      <c r="B153" s="172"/>
      <c r="C153">
        <v>-0.23886355852241062</v>
      </c>
      <c r="E153" s="172"/>
      <c r="F153">
        <v>181.60307656540152</v>
      </c>
    </row>
    <row r="154" spans="1:6">
      <c r="A154" s="172">
        <v>37803</v>
      </c>
      <c r="B154" s="172"/>
      <c r="C154">
        <v>-0.48607060245331069</v>
      </c>
      <c r="E154" s="172"/>
      <c r="F154">
        <v>183.60538579829901</v>
      </c>
    </row>
    <row r="155" spans="1:6">
      <c r="A155" s="172">
        <v>37834</v>
      </c>
      <c r="B155" s="172"/>
      <c r="C155">
        <v>-0.39211977494187455</v>
      </c>
      <c r="E155" s="172"/>
      <c r="F155">
        <v>176.33599295539054</v>
      </c>
    </row>
    <row r="156" spans="1:6">
      <c r="A156" s="172">
        <v>37865</v>
      </c>
      <c r="B156" s="172"/>
      <c r="C156">
        <v>-0.21101856796903673</v>
      </c>
      <c r="E156" s="172"/>
      <c r="F156">
        <v>183.14041412948873</v>
      </c>
    </row>
    <row r="157" spans="1:6">
      <c r="A157" s="172">
        <v>37895</v>
      </c>
      <c r="B157" s="172"/>
      <c r="C157">
        <v>-0.26860479460487452</v>
      </c>
      <c r="E157" s="172"/>
      <c r="F157">
        <v>178.11342573641878</v>
      </c>
    </row>
    <row r="158" spans="1:6">
      <c r="A158" s="172">
        <v>37926</v>
      </c>
      <c r="B158" s="172"/>
      <c r="C158">
        <v>-0.27790937848112929</v>
      </c>
      <c r="E158" s="172"/>
      <c r="F158">
        <v>185.40638118415137</v>
      </c>
    </row>
    <row r="159" spans="1:6">
      <c r="A159" s="172">
        <v>37956</v>
      </c>
      <c r="B159" s="172"/>
      <c r="C159">
        <v>-0.31563841434137502</v>
      </c>
      <c r="E159" s="172"/>
      <c r="F159">
        <v>174.69412638678958</v>
      </c>
    </row>
    <row r="160" spans="1:6">
      <c r="A160" s="172">
        <v>37987</v>
      </c>
      <c r="B160" s="172"/>
      <c r="C160">
        <v>-0.25856873069506997</v>
      </c>
      <c r="E160" s="172"/>
      <c r="F160">
        <v>181.55195271019295</v>
      </c>
    </row>
    <row r="161" spans="1:6">
      <c r="A161" s="172">
        <v>38018</v>
      </c>
      <c r="B161" s="172"/>
      <c r="C161">
        <v>-0.23991123677196444</v>
      </c>
      <c r="E161" s="172"/>
      <c r="F161">
        <v>191.21460524830709</v>
      </c>
    </row>
    <row r="162" spans="1:6">
      <c r="A162" s="172">
        <v>38047</v>
      </c>
      <c r="B162" s="172"/>
      <c r="C162">
        <v>-0.1424171331404861</v>
      </c>
      <c r="E162" s="172"/>
      <c r="F162">
        <v>172.55097160844832</v>
      </c>
    </row>
    <row r="163" spans="1:6">
      <c r="A163" s="172">
        <v>38078</v>
      </c>
      <c r="B163" s="172"/>
      <c r="C163">
        <v>-0.33528679784152449</v>
      </c>
      <c r="E163" s="172"/>
      <c r="F163">
        <v>171.03762663956456</v>
      </c>
    </row>
    <row r="164" spans="1:6">
      <c r="A164" s="172">
        <v>38108</v>
      </c>
      <c r="B164" s="172"/>
      <c r="C164">
        <v>-0.38465836492746369</v>
      </c>
      <c r="E164" s="172"/>
      <c r="F164">
        <v>196.72612355582669</v>
      </c>
    </row>
    <row r="165" spans="1:6">
      <c r="A165" s="172">
        <v>38139</v>
      </c>
      <c r="B165" s="172"/>
      <c r="C165">
        <v>-0.31629479643630226</v>
      </c>
      <c r="E165" s="172"/>
      <c r="F165">
        <v>194.57102486614707</v>
      </c>
    </row>
    <row r="166" spans="1:6">
      <c r="A166" s="172">
        <v>38169</v>
      </c>
      <c r="B166" s="172"/>
      <c r="C166">
        <v>-0.26032079552009368</v>
      </c>
      <c r="E166" s="172"/>
      <c r="F166">
        <v>184.40075282689932</v>
      </c>
    </row>
    <row r="167" spans="1:6">
      <c r="A167" s="172">
        <v>38200</v>
      </c>
      <c r="B167" s="172"/>
      <c r="C167">
        <v>-0.19022125382551153</v>
      </c>
      <c r="E167" s="172"/>
      <c r="F167">
        <v>182.55741092991605</v>
      </c>
    </row>
    <row r="168" spans="1:6">
      <c r="A168" s="172">
        <v>38231</v>
      </c>
      <c r="B168" s="172"/>
      <c r="C168">
        <v>-0.21916133211984107</v>
      </c>
      <c r="E168" s="172"/>
      <c r="F168">
        <v>184.01166063692406</v>
      </c>
    </row>
    <row r="169" spans="1:6">
      <c r="A169" s="172">
        <v>38261</v>
      </c>
      <c r="B169" s="172"/>
      <c r="C169">
        <v>-0.20879413497967819</v>
      </c>
      <c r="E169" s="172"/>
      <c r="F169">
        <v>183.40704100665667</v>
      </c>
    </row>
    <row r="170" spans="1:6">
      <c r="A170" s="172">
        <v>38292</v>
      </c>
      <c r="B170" s="172"/>
      <c r="C170">
        <v>-0.41707954894681487</v>
      </c>
      <c r="E170" s="172"/>
      <c r="F170">
        <v>167.23610354364664</v>
      </c>
    </row>
    <row r="171" spans="1:6">
      <c r="A171" s="172">
        <v>38322</v>
      </c>
      <c r="B171" s="172"/>
      <c r="C171">
        <v>-0.36965657435879634</v>
      </c>
      <c r="E171" s="172"/>
      <c r="F171">
        <v>155.24487691353704</v>
      </c>
    </row>
    <row r="172" spans="1:6">
      <c r="A172" s="172">
        <v>38353</v>
      </c>
      <c r="B172" s="172"/>
      <c r="C172">
        <v>-0.3375253549012952</v>
      </c>
      <c r="E172" s="172"/>
      <c r="F172">
        <v>163.05178785426529</v>
      </c>
    </row>
    <row r="173" spans="1:6">
      <c r="A173" s="172">
        <v>38384</v>
      </c>
      <c r="B173" s="172"/>
      <c r="C173">
        <v>-0.3816468791623982</v>
      </c>
      <c r="E173" s="172"/>
      <c r="F173">
        <v>154.46609556691212</v>
      </c>
    </row>
    <row r="174" spans="1:6">
      <c r="A174" s="172">
        <v>38412</v>
      </c>
      <c r="B174" s="172"/>
      <c r="C174">
        <v>-0.45008881426042296</v>
      </c>
      <c r="E174" s="172"/>
      <c r="F174">
        <v>164.45291641668524</v>
      </c>
    </row>
    <row r="175" spans="1:6">
      <c r="A175" s="172">
        <v>38443</v>
      </c>
      <c r="B175" s="172"/>
      <c r="C175">
        <v>-0.3781228306446458</v>
      </c>
      <c r="E175" s="172"/>
      <c r="F175">
        <v>186.60990145955603</v>
      </c>
    </row>
    <row r="176" spans="1:6">
      <c r="A176" s="172">
        <v>38473</v>
      </c>
      <c r="B176" s="172"/>
      <c r="C176">
        <v>-0.37185915719914681</v>
      </c>
      <c r="E176" s="172"/>
      <c r="F176">
        <v>190.35849310592661</v>
      </c>
    </row>
    <row r="177" spans="1:6">
      <c r="A177" s="172">
        <v>38504</v>
      </c>
      <c r="B177" s="172"/>
      <c r="C177">
        <v>-0.39375338423056006</v>
      </c>
      <c r="E177" s="172"/>
      <c r="F177">
        <v>79.499706633586001</v>
      </c>
    </row>
    <row r="178" spans="1:6">
      <c r="A178" s="172">
        <v>38534</v>
      </c>
      <c r="B178" s="172"/>
      <c r="C178">
        <v>-0.48020246337864497</v>
      </c>
      <c r="E178" s="172"/>
      <c r="F178">
        <v>76.583379666681182</v>
      </c>
    </row>
    <row r="179" spans="1:6">
      <c r="A179" s="172">
        <v>38565</v>
      </c>
      <c r="B179" s="172"/>
      <c r="C179">
        <v>-0.38567950422893571</v>
      </c>
      <c r="E179" s="172"/>
      <c r="F179">
        <v>79.518030555501127</v>
      </c>
    </row>
    <row r="180" spans="1:6">
      <c r="A180" s="172">
        <v>38596</v>
      </c>
      <c r="B180" s="172"/>
      <c r="C180">
        <v>-0.44778323345216048</v>
      </c>
      <c r="E180" s="172"/>
      <c r="F180">
        <v>75.604203631658734</v>
      </c>
    </row>
    <row r="181" spans="1:6">
      <c r="A181" s="172">
        <v>38626</v>
      </c>
      <c r="B181" s="172"/>
      <c r="C181">
        <v>-0.51374148044600898</v>
      </c>
      <c r="E181" s="172"/>
      <c r="F181">
        <v>74.407673806784956</v>
      </c>
    </row>
    <row r="182" spans="1:6">
      <c r="A182" s="172">
        <v>38657</v>
      </c>
      <c r="B182" s="172"/>
      <c r="C182">
        <v>-0.52867029051240344</v>
      </c>
      <c r="E182" s="172"/>
      <c r="F182">
        <v>79.523110313406065</v>
      </c>
    </row>
    <row r="183" spans="1:6">
      <c r="A183" s="172">
        <v>38687</v>
      </c>
      <c r="B183" s="172"/>
      <c r="C183">
        <v>-0.51044957004475255</v>
      </c>
      <c r="E183" s="172"/>
      <c r="F183">
        <v>79.289553765570417</v>
      </c>
    </row>
    <row r="184" spans="1:6">
      <c r="A184" s="172">
        <v>38718</v>
      </c>
      <c r="B184" s="172"/>
      <c r="C184">
        <v>-0.54697278716288267</v>
      </c>
      <c r="E184" s="172"/>
      <c r="F184">
        <v>123.70070344914825</v>
      </c>
    </row>
    <row r="185" spans="1:6">
      <c r="A185" s="172">
        <v>38749</v>
      </c>
      <c r="B185" s="172"/>
      <c r="C185">
        <v>-0.55663042680961961</v>
      </c>
      <c r="E185" s="172"/>
      <c r="F185">
        <v>114.12404915323263</v>
      </c>
    </row>
    <row r="186" spans="1:6">
      <c r="A186" s="172">
        <v>38777</v>
      </c>
      <c r="B186" s="172"/>
      <c r="C186">
        <v>-0.61804703201120781</v>
      </c>
      <c r="E186" s="172"/>
      <c r="F186">
        <v>111.39748063986082</v>
      </c>
    </row>
    <row r="187" spans="1:6">
      <c r="A187" s="172">
        <v>38808</v>
      </c>
      <c r="B187" s="172"/>
      <c r="C187">
        <v>-0.63055333030235583</v>
      </c>
      <c r="E187" s="172"/>
      <c r="F187">
        <v>113.23747224945129</v>
      </c>
    </row>
    <row r="188" spans="1:6">
      <c r="A188" s="172">
        <v>38838</v>
      </c>
      <c r="B188" s="172"/>
      <c r="C188">
        <v>-0.64907839451026306</v>
      </c>
      <c r="E188" s="172"/>
      <c r="F188">
        <v>112.38248577857382</v>
      </c>
    </row>
    <row r="189" spans="1:6">
      <c r="A189" s="172">
        <v>38869</v>
      </c>
      <c r="B189" s="172"/>
      <c r="C189">
        <v>-0.64411856113842403</v>
      </c>
      <c r="E189" s="172"/>
      <c r="F189">
        <v>120.80614611055265</v>
      </c>
    </row>
    <row r="190" spans="1:6">
      <c r="A190" s="172">
        <v>38899</v>
      </c>
      <c r="B190" s="172"/>
      <c r="C190">
        <v>-0.58145188276073079</v>
      </c>
      <c r="E190" s="172"/>
      <c r="F190">
        <v>119.09426802841969</v>
      </c>
    </row>
    <row r="191" spans="1:6">
      <c r="A191" s="172">
        <v>38930</v>
      </c>
      <c r="B191" s="172"/>
      <c r="C191">
        <v>-0.58214554621241088</v>
      </c>
      <c r="E191" s="172"/>
      <c r="F191">
        <v>114.19875219955142</v>
      </c>
    </row>
    <row r="192" spans="1:6">
      <c r="A192" s="172">
        <v>38961</v>
      </c>
      <c r="B192" s="172"/>
      <c r="C192">
        <v>-0.50993240210944135</v>
      </c>
      <c r="E192" s="172"/>
      <c r="F192">
        <v>117.13640331328261</v>
      </c>
    </row>
    <row r="193" spans="1:6">
      <c r="A193" s="172">
        <v>38991</v>
      </c>
      <c r="B193" s="172"/>
      <c r="C193">
        <v>-0.53170376951109044</v>
      </c>
      <c r="E193" s="172"/>
      <c r="F193">
        <v>110.88572825294507</v>
      </c>
    </row>
    <row r="194" spans="1:6">
      <c r="A194" s="172">
        <v>39022</v>
      </c>
      <c r="B194" s="172"/>
      <c r="C194">
        <v>-0.49753387457126663</v>
      </c>
      <c r="E194" s="172"/>
      <c r="F194">
        <v>104.08580342279976</v>
      </c>
    </row>
    <row r="195" spans="1:6">
      <c r="A195" s="172">
        <v>39052</v>
      </c>
      <c r="B195" s="172"/>
      <c r="C195">
        <v>-0.55687946926085918</v>
      </c>
      <c r="E195" s="172"/>
      <c r="F195">
        <v>99.120756213342517</v>
      </c>
    </row>
    <row r="196" spans="1:6">
      <c r="A196" s="172">
        <v>39083</v>
      </c>
      <c r="B196" s="172"/>
      <c r="C196">
        <v>-0.54462086521083297</v>
      </c>
      <c r="E196" s="172"/>
      <c r="F196">
        <v>93.868606067453769</v>
      </c>
    </row>
    <row r="197" spans="1:6">
      <c r="A197" s="172">
        <v>39114</v>
      </c>
      <c r="B197" s="172"/>
      <c r="C197">
        <v>-0.47170360613776785</v>
      </c>
      <c r="E197" s="172"/>
      <c r="F197">
        <v>93.684657925996902</v>
      </c>
    </row>
    <row r="198" spans="1:6">
      <c r="A198" s="172">
        <v>39142</v>
      </c>
      <c r="B198" s="172"/>
      <c r="C198">
        <v>-0.47261679990177852</v>
      </c>
      <c r="E198" s="172"/>
      <c r="F198">
        <v>98.312903225768693</v>
      </c>
    </row>
    <row r="199" spans="1:6">
      <c r="A199" s="172">
        <v>39173</v>
      </c>
      <c r="B199" s="172"/>
      <c r="C199">
        <v>-0.45276187184207412</v>
      </c>
      <c r="E199" s="172"/>
      <c r="F199">
        <v>89.572241085813147</v>
      </c>
    </row>
    <row r="200" spans="1:6">
      <c r="A200" s="172">
        <v>39203</v>
      </c>
      <c r="B200" s="172"/>
      <c r="C200">
        <v>-0.49075841325165698</v>
      </c>
      <c r="E200" s="172"/>
      <c r="F200">
        <v>85.549298530724869</v>
      </c>
    </row>
    <row r="201" spans="1:6">
      <c r="A201" s="172">
        <v>39234</v>
      </c>
      <c r="B201" s="172"/>
      <c r="C201">
        <v>-0.47351545898854874</v>
      </c>
      <c r="E201" s="172"/>
      <c r="F201">
        <v>87.318679425445353</v>
      </c>
    </row>
    <row r="202" spans="1:6">
      <c r="A202" s="172">
        <v>39264</v>
      </c>
      <c r="B202" s="172"/>
      <c r="C202">
        <v>-0.37941445952908448</v>
      </c>
      <c r="E202" s="172"/>
      <c r="F202">
        <v>103.16651673282129</v>
      </c>
    </row>
    <row r="203" spans="1:6">
      <c r="A203" s="172">
        <v>39295</v>
      </c>
      <c r="B203" s="172"/>
      <c r="C203">
        <v>-0.35778126389848353</v>
      </c>
      <c r="E203" s="172"/>
      <c r="F203">
        <v>131.73069806177193</v>
      </c>
    </row>
    <row r="204" spans="1:6">
      <c r="A204" s="172">
        <v>39326</v>
      </c>
      <c r="B204" s="172"/>
      <c r="C204">
        <v>-0.37083454033528712</v>
      </c>
      <c r="E204" s="172"/>
      <c r="F204">
        <v>131.53590596165307</v>
      </c>
    </row>
    <row r="205" spans="1:6">
      <c r="A205" s="172">
        <v>39356</v>
      </c>
      <c r="B205" s="172"/>
      <c r="C205">
        <v>-0.31401949864455841</v>
      </c>
      <c r="E205" s="172"/>
      <c r="F205">
        <v>125.05063323563755</v>
      </c>
    </row>
    <row r="206" spans="1:6">
      <c r="A206" s="172">
        <v>39387</v>
      </c>
      <c r="B206" s="172"/>
      <c r="C206">
        <v>-0.16478323112657994</v>
      </c>
      <c r="E206" s="172"/>
      <c r="F206">
        <v>151.27247129705088</v>
      </c>
    </row>
    <row r="207" spans="1:6">
      <c r="A207" s="172">
        <v>39417</v>
      </c>
      <c r="B207" s="172"/>
      <c r="C207">
        <v>-0.23991667715195455</v>
      </c>
      <c r="E207" s="172"/>
      <c r="F207">
        <v>160.69356807828396</v>
      </c>
    </row>
    <row r="208" spans="1:6">
      <c r="A208" s="172">
        <v>39448</v>
      </c>
      <c r="B208" s="172"/>
      <c r="C208">
        <v>-9.8728449909917068E-2</v>
      </c>
      <c r="E208" s="172"/>
      <c r="F208">
        <v>178.30725388506315</v>
      </c>
    </row>
    <row r="209" spans="1:6">
      <c r="A209" s="172">
        <v>39479</v>
      </c>
      <c r="B209" s="172"/>
      <c r="C209">
        <v>-5.7415742456768719E-2</v>
      </c>
      <c r="E209" s="172"/>
      <c r="F209">
        <v>186.7508820992569</v>
      </c>
    </row>
    <row r="210" spans="1:6">
      <c r="A210" s="172">
        <v>39508</v>
      </c>
      <c r="B210" s="172"/>
      <c r="C210">
        <v>-8.9905137224622275E-3</v>
      </c>
      <c r="E210" s="172"/>
      <c r="F210">
        <v>200.98320114737407</v>
      </c>
    </row>
    <row r="211" spans="1:6">
      <c r="A211" s="172">
        <v>39539</v>
      </c>
      <c r="B211" s="172"/>
      <c r="C211">
        <v>-6.4299319928607712E-2</v>
      </c>
      <c r="E211" s="172"/>
      <c r="F211">
        <v>196.90405570848165</v>
      </c>
    </row>
    <row r="212" spans="1:6">
      <c r="A212" s="172">
        <v>39569</v>
      </c>
      <c r="B212" s="172"/>
      <c r="C212">
        <v>-9.6783056760782402E-2</v>
      </c>
      <c r="E212" s="172"/>
      <c r="F212">
        <v>173.25646869951089</v>
      </c>
    </row>
    <row r="213" spans="1:6">
      <c r="A213" s="172">
        <v>39600</v>
      </c>
      <c r="B213" s="172"/>
      <c r="C213">
        <v>-5.2664092590527553E-2</v>
      </c>
      <c r="E213" s="172"/>
      <c r="F213">
        <v>178.00422269068284</v>
      </c>
    </row>
    <row r="214" spans="1:6">
      <c r="A214" s="172">
        <v>39630</v>
      </c>
      <c r="B214" s="172"/>
      <c r="C214">
        <v>-0.16321015135489367</v>
      </c>
      <c r="E214" s="172"/>
      <c r="F214">
        <v>201.01970699528508</v>
      </c>
    </row>
    <row r="215" spans="1:6">
      <c r="A215" s="172">
        <v>39661</v>
      </c>
      <c r="B215" s="172"/>
      <c r="C215">
        <v>-0.13246876430634374</v>
      </c>
      <c r="E215" s="172"/>
      <c r="F215">
        <v>207.0658634342021</v>
      </c>
    </row>
    <row r="216" spans="1:6">
      <c r="A216" s="172">
        <v>39692</v>
      </c>
      <c r="B216" s="172"/>
      <c r="C216">
        <v>-9.6781547666292253E-2</v>
      </c>
      <c r="E216" s="172"/>
      <c r="F216">
        <v>246.53108975018492</v>
      </c>
    </row>
    <row r="217" spans="1:6">
      <c r="A217" s="172">
        <v>39722</v>
      </c>
      <c r="B217" s="172"/>
      <c r="C217">
        <v>-3.0187050870562893E-2</v>
      </c>
      <c r="E217" s="172"/>
      <c r="F217">
        <v>403.2254238471167</v>
      </c>
    </row>
    <row r="218" spans="1:6">
      <c r="A218" s="172">
        <v>39753</v>
      </c>
      <c r="B218" s="172"/>
      <c r="C218">
        <v>0.21669234648329488</v>
      </c>
      <c r="E218" s="172"/>
      <c r="F218">
        <v>435.03743814150528</v>
      </c>
    </row>
    <row r="219" spans="1:6">
      <c r="A219" s="172">
        <v>39783</v>
      </c>
      <c r="B219" s="172"/>
      <c r="C219">
        <v>0.37113675671836821</v>
      </c>
      <c r="E219" s="172"/>
      <c r="F219">
        <v>457.78043284123072</v>
      </c>
    </row>
    <row r="220" spans="1:6">
      <c r="A220" s="172">
        <v>39814</v>
      </c>
      <c r="B220" s="172"/>
      <c r="C220">
        <v>0.25517924071648374</v>
      </c>
      <c r="E220" s="172"/>
      <c r="F220">
        <v>410.81997380485632</v>
      </c>
    </row>
    <row r="221" spans="1:6">
      <c r="A221" s="172">
        <v>39845</v>
      </c>
      <c r="B221" s="172"/>
      <c r="C221">
        <v>0.27142904706018695</v>
      </c>
      <c r="E221" s="172"/>
      <c r="F221">
        <v>390.50276255909938</v>
      </c>
    </row>
    <row r="222" spans="1:6">
      <c r="A222" s="172">
        <v>39873</v>
      </c>
      <c r="B222" s="172"/>
      <c r="C222">
        <v>0.33207422406979259</v>
      </c>
      <c r="E222" s="172"/>
      <c r="F222">
        <v>394.24081631050416</v>
      </c>
    </row>
    <row r="223" spans="1:6">
      <c r="A223" s="172">
        <v>39904</v>
      </c>
      <c r="B223" s="172"/>
      <c r="C223">
        <v>9.9870273645421601E-2</v>
      </c>
      <c r="E223" s="172"/>
      <c r="F223">
        <v>354.16982095496661</v>
      </c>
    </row>
    <row r="224" spans="1:6">
      <c r="A224" s="172">
        <v>39934</v>
      </c>
      <c r="B224" s="172"/>
      <c r="C224">
        <v>3.02663446584461E-2</v>
      </c>
      <c r="E224" s="172"/>
      <c r="F224">
        <v>279.28890811636205</v>
      </c>
    </row>
    <row r="225" spans="1:6">
      <c r="A225" s="172">
        <v>39965</v>
      </c>
      <c r="B225" s="172"/>
      <c r="C225">
        <v>3.6731305027101535E-2</v>
      </c>
      <c r="E225" s="172"/>
      <c r="F225">
        <v>224.21883966910622</v>
      </c>
    </row>
    <row r="226" spans="1:6">
      <c r="A226" s="172">
        <v>39995</v>
      </c>
      <c r="B226" s="172"/>
      <c r="C226">
        <v>-4.2689122429981324E-2</v>
      </c>
      <c r="E226" s="172"/>
      <c r="F226">
        <v>238.79007870598301</v>
      </c>
    </row>
    <row r="227" spans="1:6">
      <c r="A227" s="172">
        <v>40026</v>
      </c>
      <c r="B227" s="172"/>
      <c r="C227">
        <v>-1.5392498733109465E-2</v>
      </c>
      <c r="E227" s="172"/>
      <c r="F227">
        <v>209.78100469960921</v>
      </c>
    </row>
    <row r="228" spans="1:6">
      <c r="A228" s="172">
        <v>40057</v>
      </c>
      <c r="B228" s="172"/>
      <c r="C228">
        <v>1.1236991946854853E-2</v>
      </c>
      <c r="E228" s="172"/>
      <c r="F228">
        <v>193.29467063437585</v>
      </c>
    </row>
    <row r="229" spans="1:6">
      <c r="A229" s="172">
        <v>40087</v>
      </c>
      <c r="B229" s="172"/>
      <c r="C229">
        <v>-1.6999308928359411E-2</v>
      </c>
      <c r="E229" s="172"/>
      <c r="F229">
        <v>167.01513888040384</v>
      </c>
    </row>
    <row r="230" spans="1:6">
      <c r="A230" s="172">
        <v>40118</v>
      </c>
      <c r="B230" s="172"/>
      <c r="C230">
        <v>1.1871795005079238</v>
      </c>
      <c r="E230" s="172"/>
      <c r="F230">
        <v>170.91586423310409</v>
      </c>
    </row>
    <row r="231" spans="1:6">
      <c r="A231" s="172">
        <v>40148</v>
      </c>
      <c r="B231" s="172"/>
      <c r="C231">
        <v>0.83436043674151417</v>
      </c>
      <c r="E231" s="172"/>
      <c r="F231">
        <v>150.29671075991615</v>
      </c>
    </row>
    <row r="232" spans="1:6">
      <c r="A232" s="172">
        <v>40179</v>
      </c>
      <c r="B232" s="172"/>
      <c r="C232">
        <v>0.88658388967217405</v>
      </c>
      <c r="E232" s="172"/>
      <c r="F232">
        <v>141.30932756026505</v>
      </c>
    </row>
    <row r="233" spans="1:6">
      <c r="A233" s="172">
        <v>40210</v>
      </c>
      <c r="B233" s="172"/>
      <c r="C233">
        <v>0.97652863868608297</v>
      </c>
      <c r="E233" s="172"/>
      <c r="F233">
        <v>173.9726695933181</v>
      </c>
    </row>
    <row r="234" spans="1:6">
      <c r="A234" s="172">
        <v>40238</v>
      </c>
      <c r="B234" s="172"/>
      <c r="C234">
        <v>0.57859797765960719</v>
      </c>
      <c r="E234" s="172"/>
      <c r="F234">
        <v>147.86323021773455</v>
      </c>
    </row>
    <row r="235" spans="1:6">
      <c r="A235" s="172">
        <v>40269</v>
      </c>
      <c r="B235" s="172"/>
      <c r="C235">
        <v>0.611159293820279</v>
      </c>
      <c r="E235" s="172"/>
      <c r="F235">
        <v>114.11313287638956</v>
      </c>
    </row>
    <row r="236" spans="1:6">
      <c r="A236" s="172">
        <v>40299</v>
      </c>
      <c r="B236" s="172"/>
      <c r="C236">
        <v>1.0868010239067403</v>
      </c>
      <c r="E236" s="172"/>
      <c r="F236">
        <v>141.54329175301675</v>
      </c>
    </row>
    <row r="237" spans="1:6">
      <c r="A237" s="172">
        <v>40330</v>
      </c>
      <c r="B237" s="172"/>
      <c r="C237">
        <v>1.3651198279841026</v>
      </c>
      <c r="E237" s="172"/>
      <c r="F237">
        <v>165.81084286374943</v>
      </c>
    </row>
    <row r="238" spans="1:6">
      <c r="A238" s="172">
        <v>40360</v>
      </c>
      <c r="B238" s="172"/>
      <c r="C238">
        <v>1.1969700429667194</v>
      </c>
      <c r="E238" s="172"/>
      <c r="F238">
        <v>169.40488121524203</v>
      </c>
    </row>
    <row r="239" spans="1:6">
      <c r="A239" s="172">
        <v>40391</v>
      </c>
      <c r="B239" s="172"/>
      <c r="C239">
        <v>1.3383155431999219</v>
      </c>
      <c r="E239" s="172"/>
      <c r="F239">
        <v>153.17882697507866</v>
      </c>
    </row>
    <row r="240" spans="1:6">
      <c r="A240" s="172">
        <v>40422</v>
      </c>
      <c r="B240" s="172"/>
      <c r="C240">
        <v>1.4092895933694576</v>
      </c>
      <c r="E240" s="172"/>
      <c r="F240">
        <v>156.54216064891955</v>
      </c>
    </row>
    <row r="241" spans="1:6">
      <c r="A241" s="172">
        <v>40452</v>
      </c>
      <c r="B241" s="172"/>
      <c r="C241">
        <v>1.2038043650117818</v>
      </c>
      <c r="E241" s="172"/>
      <c r="F241">
        <v>151.86864311583051</v>
      </c>
    </row>
    <row r="242" spans="1:6">
      <c r="A242" s="172">
        <v>40483</v>
      </c>
      <c r="B242" s="172"/>
      <c r="C242">
        <v>1.3801870304266906</v>
      </c>
      <c r="E242" s="172"/>
      <c r="F242">
        <v>149.33491723560044</v>
      </c>
    </row>
    <row r="243" spans="1:6">
      <c r="A243" s="172">
        <v>40513</v>
      </c>
      <c r="B243" s="172"/>
      <c r="C243">
        <v>1.084730555599394</v>
      </c>
      <c r="E243" s="172"/>
      <c r="F243">
        <v>168.94884544075879</v>
      </c>
    </row>
    <row r="244" spans="1:6">
      <c r="A244" s="172">
        <v>40544</v>
      </c>
      <c r="B244" s="172"/>
      <c r="C244">
        <v>1.0654611340102689</v>
      </c>
      <c r="E244" s="172"/>
      <c r="F244">
        <v>175.42509176434552</v>
      </c>
    </row>
    <row r="245" spans="1:6">
      <c r="A245" s="172">
        <v>40575</v>
      </c>
      <c r="B245" s="172"/>
      <c r="C245">
        <v>0.97507265737275606</v>
      </c>
      <c r="E245" s="172"/>
      <c r="F245">
        <v>176.22991679446343</v>
      </c>
    </row>
    <row r="246" spans="1:6">
      <c r="A246" s="172">
        <v>40603</v>
      </c>
      <c r="B246" s="172"/>
      <c r="C246">
        <v>1.0282302580750893</v>
      </c>
      <c r="E246" s="172"/>
      <c r="F246">
        <v>192.67893555242017</v>
      </c>
    </row>
    <row r="247" spans="1:6">
      <c r="A247" s="172">
        <v>40634</v>
      </c>
      <c r="B247" s="172"/>
      <c r="C247">
        <v>0.9129796134949214</v>
      </c>
      <c r="E247" s="172"/>
      <c r="F247">
        <v>189.50453880625096</v>
      </c>
    </row>
    <row r="248" spans="1:6">
      <c r="A248" s="172">
        <v>40664</v>
      </c>
      <c r="B248" s="172"/>
      <c r="C248">
        <v>1.1049902682100601</v>
      </c>
      <c r="E248" s="172"/>
      <c r="F248">
        <v>199.08002853848225</v>
      </c>
    </row>
    <row r="249" spans="1:6">
      <c r="A249" s="172">
        <v>40695</v>
      </c>
      <c r="B249" s="172"/>
      <c r="C249">
        <v>1.2150749912151519</v>
      </c>
      <c r="E249" s="172"/>
      <c r="F249">
        <v>204.17285372898471</v>
      </c>
    </row>
    <row r="250" spans="1:6">
      <c r="A250" s="172">
        <v>40725</v>
      </c>
      <c r="B250" s="172"/>
      <c r="C250">
        <v>1.4617529999782832</v>
      </c>
      <c r="E250" s="172"/>
      <c r="F250">
        <v>200.3823338902904</v>
      </c>
    </row>
    <row r="251" spans="1:6">
      <c r="A251" s="172">
        <v>40756</v>
      </c>
      <c r="B251" s="172"/>
      <c r="C251">
        <v>1.7576888695918231</v>
      </c>
      <c r="E251" s="172"/>
      <c r="F251">
        <v>240.93832518663697</v>
      </c>
    </row>
    <row r="252" spans="1:6">
      <c r="A252" s="172">
        <v>40787</v>
      </c>
      <c r="B252" s="172"/>
      <c r="C252">
        <v>2.0408805445777607</v>
      </c>
      <c r="E252" s="172"/>
      <c r="F252">
        <v>286.94498386787654</v>
      </c>
    </row>
    <row r="253" spans="1:6">
      <c r="A253" s="172">
        <v>40817</v>
      </c>
      <c r="B253" s="172"/>
      <c r="C253">
        <v>2.2577217480021106</v>
      </c>
      <c r="E253" s="172"/>
      <c r="F253">
        <v>307.19604863579224</v>
      </c>
    </row>
    <row r="254" spans="1:6">
      <c r="A254" s="172">
        <v>40848</v>
      </c>
      <c r="B254" s="172"/>
      <c r="C254">
        <v>2.4353790848084556</v>
      </c>
      <c r="E254" s="172"/>
      <c r="F254">
        <v>306.09010006496601</v>
      </c>
    </row>
    <row r="255" spans="1:6">
      <c r="A255" s="172">
        <v>40878</v>
      </c>
      <c r="B255" s="172"/>
      <c r="C255">
        <v>2.563762279781753</v>
      </c>
      <c r="E255" s="172"/>
      <c r="F255">
        <v>316.06796614530509</v>
      </c>
    </row>
    <row r="256" spans="1:6">
      <c r="A256" s="172">
        <v>40909</v>
      </c>
      <c r="B256" s="172"/>
      <c r="C256">
        <v>2.523648933248138</v>
      </c>
      <c r="E256" s="172"/>
      <c r="F256">
        <v>320.49920360813837</v>
      </c>
    </row>
    <row r="257" spans="1:6">
      <c r="A257" s="172">
        <v>40940</v>
      </c>
      <c r="B257" s="172"/>
      <c r="C257">
        <v>2.3051395188339954</v>
      </c>
      <c r="E257" s="172"/>
      <c r="F257">
        <v>303.93088205370293</v>
      </c>
    </row>
    <row r="258" spans="1:6">
      <c r="A258" s="172">
        <v>40969</v>
      </c>
      <c r="B258" s="172"/>
      <c r="C258">
        <v>1.8093037242848387</v>
      </c>
      <c r="E258" s="172"/>
      <c r="F258">
        <v>271.74080353200287</v>
      </c>
    </row>
    <row r="259" spans="1:6">
      <c r="A259" s="172">
        <v>41000</v>
      </c>
      <c r="B259" s="172"/>
      <c r="C259">
        <v>1.9798497727754734</v>
      </c>
      <c r="E259" s="172"/>
      <c r="F259">
        <v>277.81302633709851</v>
      </c>
    </row>
    <row r="260" spans="1:6">
      <c r="A260" s="172">
        <v>41030</v>
      </c>
      <c r="B260" s="172"/>
      <c r="C260">
        <v>2.3499056187170795</v>
      </c>
      <c r="E260" s="172"/>
      <c r="F260">
        <v>299.36025814514022</v>
      </c>
    </row>
    <row r="261" spans="1:6">
      <c r="A261" s="172">
        <v>41061</v>
      </c>
      <c r="B261" s="172"/>
      <c r="C261">
        <v>2.1741390617165877</v>
      </c>
      <c r="E261" s="172"/>
      <c r="F261">
        <v>310.671481104061</v>
      </c>
    </row>
    <row r="262" spans="1:6">
      <c r="A262" s="172">
        <v>41091</v>
      </c>
      <c r="B262" s="172"/>
      <c r="C262">
        <v>2.0615688144423809</v>
      </c>
      <c r="E262" s="172"/>
      <c r="F262">
        <v>261.19308073187187</v>
      </c>
    </row>
    <row r="263" spans="1:6">
      <c r="A263" s="172">
        <v>41122</v>
      </c>
      <c r="B263" s="172"/>
      <c r="C263">
        <v>1.8653340229281055</v>
      </c>
      <c r="E263" s="172"/>
      <c r="F263">
        <v>229.88081969578835</v>
      </c>
    </row>
    <row r="264" spans="1:6">
      <c r="A264" s="172">
        <v>41153</v>
      </c>
      <c r="B264" s="172"/>
      <c r="C264">
        <v>1.9189531822308836</v>
      </c>
      <c r="E264" s="172"/>
      <c r="F264">
        <v>214.90168791535288</v>
      </c>
    </row>
    <row r="265" spans="1:6">
      <c r="A265" s="172">
        <v>41183</v>
      </c>
      <c r="B265" s="172"/>
      <c r="C265">
        <v>1.7107994566053166</v>
      </c>
      <c r="E265" s="172"/>
      <c r="F265">
        <v>203.06949708574203</v>
      </c>
    </row>
    <row r="266" spans="1:6">
      <c r="A266" s="172">
        <v>41214</v>
      </c>
      <c r="B266" s="172"/>
      <c r="C266">
        <v>1.6653908891000313</v>
      </c>
      <c r="E266" s="172"/>
      <c r="F266">
        <v>209.82625627391511</v>
      </c>
    </row>
    <row r="267" spans="1:6">
      <c r="A267" s="172">
        <v>41244</v>
      </c>
      <c r="B267" s="172"/>
      <c r="C267">
        <v>1.5015290368479921</v>
      </c>
      <c r="E267" s="172"/>
      <c r="F267">
        <v>198.49158083246036</v>
      </c>
    </row>
    <row r="268" spans="1:6">
      <c r="A268" s="172">
        <v>41275</v>
      </c>
      <c r="B268" s="172"/>
      <c r="C268">
        <v>1.2958045818137862</v>
      </c>
      <c r="E268" s="172"/>
      <c r="F268">
        <v>185.77743803168886</v>
      </c>
    </row>
    <row r="269" spans="1:6">
      <c r="A269" s="172">
        <v>41306</v>
      </c>
      <c r="B269" s="172"/>
      <c r="C269">
        <v>1.4957929856997929</v>
      </c>
      <c r="E269" s="172"/>
      <c r="F269">
        <v>200.28442586194285</v>
      </c>
    </row>
    <row r="270" spans="1:6">
      <c r="A270" s="172">
        <v>41334</v>
      </c>
      <c r="B270" s="172"/>
      <c r="C270">
        <v>1.5519798661409192</v>
      </c>
      <c r="E270" s="172"/>
      <c r="F270">
        <v>205.59400745995296</v>
      </c>
    </row>
    <row r="271" spans="1:6">
      <c r="A271" s="172">
        <v>41365</v>
      </c>
      <c r="B271" s="172"/>
      <c r="C271">
        <v>1.3480236358192739</v>
      </c>
      <c r="E271" s="172"/>
      <c r="F271">
        <v>209.44167858640867</v>
      </c>
    </row>
    <row r="272" spans="1:6">
      <c r="A272" s="172">
        <v>41395</v>
      </c>
      <c r="B272" s="172"/>
      <c r="C272">
        <v>1.2087291337481776</v>
      </c>
      <c r="E272" s="172"/>
      <c r="F272">
        <v>201.36904109961742</v>
      </c>
    </row>
    <row r="273" spans="1:6">
      <c r="A273" s="172">
        <v>41426</v>
      </c>
      <c r="B273" s="172"/>
      <c r="C273">
        <v>1.3630746732792498</v>
      </c>
      <c r="E273" s="172"/>
      <c r="F273">
        <v>248.98020746501143</v>
      </c>
    </row>
    <row r="274" spans="1:6">
      <c r="A274" s="172">
        <v>41456</v>
      </c>
      <c r="B274" s="172"/>
      <c r="C274">
        <v>1.2854324734902496</v>
      </c>
      <c r="E274" s="172"/>
      <c r="F274">
        <v>236.58475507430794</v>
      </c>
    </row>
    <row r="275" spans="1:6">
      <c r="A275" s="172">
        <v>41487</v>
      </c>
      <c r="B275" s="172"/>
      <c r="C275">
        <v>2.0763434068290954</v>
      </c>
      <c r="E275" s="172"/>
      <c r="F275">
        <v>242.30839396242345</v>
      </c>
    </row>
    <row r="276" spans="1:6">
      <c r="A276" s="172">
        <v>41518</v>
      </c>
      <c r="B276" s="172"/>
      <c r="C276">
        <v>1.9697204646486539</v>
      </c>
      <c r="E276" s="172"/>
      <c r="F276">
        <v>244.13326422342925</v>
      </c>
    </row>
    <row r="277" spans="1:6">
      <c r="A277" s="172">
        <v>41548</v>
      </c>
      <c r="B277" s="172"/>
      <c r="C277">
        <v>1.7890160435593907</v>
      </c>
      <c r="E277" s="172"/>
      <c r="F277">
        <v>230.58280476755922</v>
      </c>
    </row>
    <row r="278" spans="1:6">
      <c r="A278" s="172">
        <v>41579</v>
      </c>
      <c r="B278" s="172"/>
      <c r="C278">
        <v>1.7303922904601943</v>
      </c>
      <c r="E278" s="172"/>
      <c r="F278">
        <v>228.38237920462191</v>
      </c>
    </row>
    <row r="279" spans="1:6">
      <c r="A279" s="172">
        <v>41609</v>
      </c>
      <c r="B279" s="172"/>
      <c r="C279">
        <v>1.4417162277596396</v>
      </c>
      <c r="E279" s="172"/>
      <c r="F279">
        <v>217.8826981041309</v>
      </c>
    </row>
    <row r="280" spans="1:6">
      <c r="A280" s="172">
        <v>41640</v>
      </c>
      <c r="B280" s="172"/>
      <c r="C280">
        <v>1.4859558711252647</v>
      </c>
      <c r="E280" s="172"/>
      <c r="F280">
        <v>222.92691083946258</v>
      </c>
    </row>
    <row r="281" spans="1:6">
      <c r="A281" s="172">
        <v>41671</v>
      </c>
      <c r="B281" s="172"/>
      <c r="C281">
        <v>1.4201605723434974</v>
      </c>
      <c r="E281" s="172"/>
      <c r="F281">
        <v>229.68451899337103</v>
      </c>
    </row>
    <row r="282" spans="1:6">
      <c r="A282" s="172">
        <v>41699</v>
      </c>
      <c r="B282" s="172"/>
      <c r="C282">
        <v>1.3328293283734576</v>
      </c>
      <c r="E282" s="172"/>
      <c r="F282">
        <v>216.16922256533442</v>
      </c>
    </row>
    <row r="283" spans="1:6">
      <c r="A283" s="172">
        <v>41730</v>
      </c>
      <c r="B283" s="172"/>
      <c r="C283">
        <v>1.2559887238885254</v>
      </c>
      <c r="E283" s="172"/>
      <c r="F283">
        <v>203.65680466955047</v>
      </c>
    </row>
    <row r="284" spans="1:6">
      <c r="A284" s="172">
        <v>41760</v>
      </c>
      <c r="B284" s="172"/>
      <c r="C284">
        <v>1.2563642336575869</v>
      </c>
      <c r="E284" s="172"/>
      <c r="F284">
        <v>195.7982669716074</v>
      </c>
    </row>
    <row r="285" spans="1:6">
      <c r="A285" s="172">
        <v>41791</v>
      </c>
      <c r="B285" s="172"/>
      <c r="C285">
        <v>1.0758356451410829</v>
      </c>
      <c r="E285" s="172"/>
      <c r="F285">
        <v>176.70115866814223</v>
      </c>
    </row>
    <row r="286" spans="1:6">
      <c r="A286" s="172">
        <v>41821</v>
      </c>
      <c r="B286" s="172"/>
      <c r="C286">
        <v>1.1098690282914163</v>
      </c>
      <c r="E286" s="172"/>
      <c r="F286">
        <v>178.23728015440776</v>
      </c>
    </row>
    <row r="287" spans="1:6">
      <c r="A287" s="172">
        <v>41852</v>
      </c>
      <c r="B287" s="172"/>
      <c r="C287">
        <v>1.220240609779764</v>
      </c>
      <c r="E287" s="172"/>
      <c r="F287">
        <v>190.99613176372512</v>
      </c>
    </row>
    <row r="288" spans="1:6">
      <c r="A288" s="172">
        <v>41883</v>
      </c>
      <c r="B288" s="172"/>
      <c r="C288">
        <v>1.0147666215088367</v>
      </c>
      <c r="E288" s="172"/>
      <c r="F288">
        <v>183.91893227642541</v>
      </c>
    </row>
    <row r="289" spans="1:6">
      <c r="A289" s="172">
        <v>41913</v>
      </c>
      <c r="B289" s="172"/>
      <c r="C289">
        <v>1.2188408436379961</v>
      </c>
      <c r="E289" s="172"/>
      <c r="F289">
        <v>201.42539736192177</v>
      </c>
    </row>
    <row r="290" spans="1:6">
      <c r="A290" s="172">
        <v>41944</v>
      </c>
      <c r="B290" s="172"/>
      <c r="C290">
        <v>1.0259035202009756</v>
      </c>
      <c r="E290" s="172"/>
      <c r="F290">
        <v>198.73624171384495</v>
      </c>
    </row>
    <row r="291" spans="1:6">
      <c r="A291" s="172">
        <v>41974</v>
      </c>
      <c r="B291" s="172"/>
      <c r="C291">
        <v>1.0221053109885212</v>
      </c>
      <c r="E291" s="172"/>
      <c r="F291">
        <v>228.52670820686279</v>
      </c>
    </row>
    <row r="292" spans="1:6">
      <c r="A292" s="172">
        <v>42005</v>
      </c>
      <c r="B292" s="172"/>
      <c r="C292">
        <v>1.1571485841115619</v>
      </c>
      <c r="E292" s="172"/>
      <c r="F292">
        <v>270.87660207485675</v>
      </c>
    </row>
    <row r="293" spans="1:6">
      <c r="A293" s="172">
        <v>42036</v>
      </c>
      <c r="B293" s="172"/>
      <c r="C293">
        <v>0.8178973999240351</v>
      </c>
      <c r="E293" s="172"/>
      <c r="F293">
        <v>258.02995354418482</v>
      </c>
    </row>
    <row r="294" spans="1:6">
      <c r="A294" s="172">
        <v>42064</v>
      </c>
      <c r="B294" s="172"/>
      <c r="C294">
        <v>0.83527441346909648</v>
      </c>
      <c r="E294" s="172"/>
      <c r="F294">
        <v>250.64023163483458</v>
      </c>
    </row>
    <row r="295" spans="1:6">
      <c r="A295" s="172">
        <v>42095</v>
      </c>
      <c r="B295" s="172"/>
      <c r="C295">
        <v>0.84001777339202521</v>
      </c>
      <c r="E295" s="172"/>
      <c r="F295">
        <v>233.35438721172446</v>
      </c>
    </row>
    <row r="296" spans="1:6">
      <c r="A296" s="172">
        <v>42125</v>
      </c>
      <c r="B296" s="172"/>
      <c r="C296">
        <v>0.78623514447236076</v>
      </c>
      <c r="E296" s="172"/>
      <c r="F296">
        <v>224.91231223108937</v>
      </c>
    </row>
    <row r="297" spans="1:6">
      <c r="A297" s="172">
        <v>42156</v>
      </c>
      <c r="B297" s="172"/>
      <c r="C297">
        <v>0.91793228910600988</v>
      </c>
      <c r="E297" s="172"/>
      <c r="F297">
        <v>224.85159289093204</v>
      </c>
    </row>
    <row r="298" spans="1:6">
      <c r="A298" s="172">
        <v>42186</v>
      </c>
      <c r="B298" s="172"/>
      <c r="C298">
        <v>0.89976658292651202</v>
      </c>
      <c r="E298" s="172"/>
      <c r="F298">
        <v>237.07069946085008</v>
      </c>
    </row>
    <row r="299" spans="1:6">
      <c r="A299" s="172">
        <v>42217</v>
      </c>
      <c r="B299" s="172"/>
      <c r="C299">
        <v>0.86427293455967702</v>
      </c>
      <c r="E299" s="172"/>
      <c r="F299">
        <v>252.00397179032132</v>
      </c>
    </row>
    <row r="300" spans="1:6">
      <c r="A300" s="172">
        <v>42248</v>
      </c>
      <c r="B300" s="172"/>
      <c r="C300">
        <v>0.85963748179771471</v>
      </c>
      <c r="E300" s="172"/>
      <c r="F300">
        <v>260.3439998564977</v>
      </c>
    </row>
    <row r="301" spans="1:6">
      <c r="A301" s="172">
        <v>42278</v>
      </c>
      <c r="B301" s="172"/>
      <c r="C301">
        <v>0.75723888885211033</v>
      </c>
      <c r="E301" s="172"/>
      <c r="F301">
        <v>258.41466332414552</v>
      </c>
    </row>
    <row r="302" spans="1:6">
      <c r="A302" s="172">
        <v>42309</v>
      </c>
      <c r="B302" s="172"/>
      <c r="C302">
        <v>0.6357001557003118</v>
      </c>
      <c r="E302" s="172"/>
      <c r="F302">
        <v>239.26822491990498</v>
      </c>
    </row>
    <row r="303" spans="1:6">
      <c r="A303" s="172">
        <v>42339</v>
      </c>
      <c r="B303" s="172"/>
      <c r="C303">
        <v>0.59382923542581212</v>
      </c>
      <c r="E303" s="172"/>
      <c r="F303">
        <v>253.90384190970929</v>
      </c>
    </row>
    <row r="304" spans="1:6">
      <c r="A304" s="172">
        <v>42370</v>
      </c>
      <c r="B304" s="172"/>
      <c r="C304">
        <v>0.80168629713870165</v>
      </c>
      <c r="E304" s="172"/>
      <c r="F304">
        <v>276.15822139656206</v>
      </c>
    </row>
    <row r="305" spans="1:6">
      <c r="A305" s="172">
        <v>42401</v>
      </c>
      <c r="B305" s="172"/>
      <c r="C305">
        <v>1.0441373810461991</v>
      </c>
      <c r="E305" s="172"/>
      <c r="F305">
        <v>291.36525795127341</v>
      </c>
    </row>
    <row r="306" spans="1:6">
      <c r="A306" s="172">
        <v>42430</v>
      </c>
      <c r="B306" s="172"/>
      <c r="C306">
        <v>0.79631034041286797</v>
      </c>
      <c r="E306" s="172"/>
      <c r="F306">
        <v>257.8115290948067</v>
      </c>
    </row>
    <row r="307" spans="1:6">
      <c r="A307" s="172">
        <v>42461</v>
      </c>
      <c r="B307" s="172"/>
      <c r="C307">
        <v>0.88426422165639673</v>
      </c>
      <c r="E307" s="172"/>
      <c r="F307">
        <v>245.65311184499606</v>
      </c>
    </row>
    <row r="308" spans="1:6">
      <c r="A308" s="172">
        <v>42491</v>
      </c>
      <c r="B308" s="172"/>
      <c r="C308">
        <v>0.7515554392884406</v>
      </c>
      <c r="E308" s="172"/>
      <c r="F308">
        <v>243.55861905934492</v>
      </c>
    </row>
    <row r="309" spans="1:6">
      <c r="A309" s="172">
        <v>42522</v>
      </c>
      <c r="B309" s="172"/>
      <c r="C309">
        <v>0.90106168291306876</v>
      </c>
      <c r="E309" s="172"/>
      <c r="F309">
        <v>245.42338797821517</v>
      </c>
    </row>
    <row r="310" spans="1:6">
      <c r="A310" s="172">
        <v>42552</v>
      </c>
      <c r="B310" s="172"/>
      <c r="C310">
        <v>0.64200321686904649</v>
      </c>
      <c r="E310" s="172"/>
      <c r="F310">
        <v>226.36238614537848</v>
      </c>
    </row>
    <row r="311" spans="1:6">
      <c r="A311" s="172">
        <v>42583</v>
      </c>
      <c r="B311" s="172"/>
      <c r="C311">
        <v>0.50625923404354667</v>
      </c>
      <c r="E311" s="172"/>
      <c r="F311">
        <v>207.0975819875398</v>
      </c>
    </row>
    <row r="312" spans="1:6">
      <c r="A312" s="172">
        <v>42614</v>
      </c>
      <c r="B312" s="172"/>
      <c r="C312">
        <v>0.51713217842613646</v>
      </c>
      <c r="E312" s="172"/>
      <c r="F312">
        <v>204.19000688024227</v>
      </c>
    </row>
    <row r="313" spans="1:6">
      <c r="A313" s="172">
        <v>42644</v>
      </c>
      <c r="B313" s="172"/>
      <c r="C313">
        <v>0.5071295440371234</v>
      </c>
      <c r="E313" s="172"/>
      <c r="F313">
        <v>208.94527914953827</v>
      </c>
    </row>
    <row r="314" spans="1:6">
      <c r="A314" s="172">
        <v>42675</v>
      </c>
      <c r="B314" s="172"/>
      <c r="C314">
        <v>0.45908321700170196</v>
      </c>
      <c r="E314" s="172"/>
      <c r="F314">
        <v>216.16972910111846</v>
      </c>
    </row>
    <row r="315" spans="1:6">
      <c r="A315" s="172">
        <v>42705</v>
      </c>
      <c r="B315" s="172"/>
      <c r="C315">
        <v>0.50115615195551189</v>
      </c>
      <c r="E315" s="172"/>
      <c r="F315">
        <v>210.77234309127383</v>
      </c>
    </row>
    <row r="316" spans="1:6">
      <c r="A316" s="172">
        <v>42736</v>
      </c>
      <c r="B316" s="172"/>
      <c r="C316">
        <v>0.60108991928643929</v>
      </c>
      <c r="E316" s="172"/>
      <c r="F316">
        <v>201.71576926619005</v>
      </c>
    </row>
    <row r="317" spans="1:6">
      <c r="A317" s="172">
        <v>42767</v>
      </c>
      <c r="B317" s="172"/>
      <c r="C317">
        <v>0.66996143307929035</v>
      </c>
      <c r="E317" s="172"/>
      <c r="F317">
        <v>191.53074301857842</v>
      </c>
    </row>
    <row r="318" spans="1:6">
      <c r="A318" s="172">
        <v>42795</v>
      </c>
      <c r="B318" s="172"/>
      <c r="C318">
        <v>0.48927291853409532</v>
      </c>
      <c r="E318" s="172"/>
      <c r="F318">
        <v>185.35221108089323</v>
      </c>
    </row>
    <row r="319" spans="1:6">
      <c r="A319" s="172">
        <v>42826</v>
      </c>
      <c r="B319" s="172"/>
      <c r="C319">
        <v>0.52319482029874342</v>
      </c>
      <c r="E319" s="172"/>
      <c r="F319">
        <v>189.83774005309576</v>
      </c>
    </row>
    <row r="320" spans="1:6">
      <c r="A320" s="172">
        <v>42856</v>
      </c>
      <c r="B320" s="172"/>
      <c r="C320">
        <v>0.43704165382410043</v>
      </c>
      <c r="E320" s="172"/>
      <c r="F320">
        <v>185.17453791394823</v>
      </c>
    </row>
    <row r="321" spans="1:6">
      <c r="A321" s="172">
        <v>42887</v>
      </c>
      <c r="B321" s="172"/>
      <c r="C321">
        <v>0.35849042648046969</v>
      </c>
      <c r="E321" s="172"/>
      <c r="F321">
        <v>184.68478813301792</v>
      </c>
    </row>
    <row r="322" spans="1:6">
      <c r="A322" s="172">
        <v>42917</v>
      </c>
      <c r="B322" s="172"/>
      <c r="C322">
        <v>0.3372602862034017</v>
      </c>
      <c r="E322" s="172"/>
      <c r="F322">
        <v>183.5377518554827</v>
      </c>
    </row>
    <row r="323" spans="1:6">
      <c r="A323" s="172">
        <v>42948</v>
      </c>
      <c r="B323" s="172"/>
      <c r="C323">
        <v>0.43164600160238176</v>
      </c>
      <c r="E323" s="172"/>
      <c r="F323">
        <v>185.52442530632572</v>
      </c>
    </row>
    <row r="324" spans="1:6">
      <c r="A324" s="172">
        <v>42979</v>
      </c>
      <c r="B324" s="172"/>
      <c r="C324">
        <v>0.34479910010830872</v>
      </c>
      <c r="E324" s="172"/>
      <c r="F324">
        <v>183.19866354800237</v>
      </c>
    </row>
    <row r="325" spans="1:6">
      <c r="A325" s="172">
        <v>43009</v>
      </c>
      <c r="B325" s="172"/>
      <c r="C325">
        <v>0.20656498679098348</v>
      </c>
      <c r="E325" s="172"/>
      <c r="F325">
        <v>174.81994318320207</v>
      </c>
    </row>
    <row r="326" spans="1:6">
      <c r="A326" s="172">
        <v>43040</v>
      </c>
      <c r="B326" s="172"/>
      <c r="C326">
        <v>0.10140759059027116</v>
      </c>
      <c r="E326" s="172"/>
      <c r="F326">
        <v>179.63660576949493</v>
      </c>
    </row>
    <row r="327" spans="1:6">
      <c r="A327" s="172">
        <v>43070</v>
      </c>
      <c r="B327" s="172"/>
      <c r="C327">
        <v>2.4246699196407574E-2</v>
      </c>
      <c r="E327" s="172"/>
      <c r="F327">
        <v>177.96463140737873</v>
      </c>
    </row>
    <row r="328" spans="1:6">
      <c r="A328" s="172">
        <v>43101</v>
      </c>
      <c r="B328" s="172"/>
      <c r="C328">
        <v>-0.12757136360336441</v>
      </c>
      <c r="E328" s="172"/>
      <c r="F328">
        <v>173.91367520461984</v>
      </c>
    </row>
    <row r="329" spans="1:6">
      <c r="A329" s="172">
        <v>43132</v>
      </c>
      <c r="B329" s="172"/>
      <c r="C329">
        <v>-2.9340368319118446E-2</v>
      </c>
      <c r="E329" s="172"/>
      <c r="F329">
        <v>181.38973794408039</v>
      </c>
    </row>
    <row r="330" spans="1:6">
      <c r="A330" s="172">
        <v>43160</v>
      </c>
      <c r="B330" s="172"/>
      <c r="C330">
        <v>4.4057988473597334E-2</v>
      </c>
      <c r="E330" s="172"/>
      <c r="F330">
        <v>191.88101860103012</v>
      </c>
    </row>
    <row r="331" spans="1:6">
      <c r="A331" s="172">
        <v>43191</v>
      </c>
      <c r="B331" s="172"/>
      <c r="C331">
        <v>-5.6994187577032125E-2</v>
      </c>
      <c r="E331" s="172"/>
      <c r="F331">
        <v>200.23008386084041</v>
      </c>
    </row>
    <row r="332" spans="1:6">
      <c r="A332" s="172">
        <v>43221</v>
      </c>
      <c r="B332" s="172"/>
      <c r="C332">
        <v>0.1973164334397122</v>
      </c>
      <c r="E332" s="172"/>
      <c r="F332">
        <v>212.98203944012886</v>
      </c>
    </row>
    <row r="333" spans="1:6">
      <c r="A333" s="172">
        <v>43252</v>
      </c>
      <c r="B333" s="172"/>
      <c r="C333">
        <v>0.1778908988662192</v>
      </c>
      <c r="E333" s="172"/>
      <c r="F333">
        <v>226.33650755158234</v>
      </c>
    </row>
    <row r="334" spans="1:6">
      <c r="A334" s="172">
        <v>43282</v>
      </c>
      <c r="B334" s="172"/>
      <c r="C334">
        <v>1.057264072925135E-2</v>
      </c>
      <c r="E334" s="172"/>
      <c r="F334">
        <v>223.11528207505305</v>
      </c>
    </row>
    <row r="335" spans="1:6">
      <c r="A335" s="172">
        <v>43313</v>
      </c>
      <c r="B335" s="172"/>
      <c r="C335">
        <v>8.2469078154849509E-2</v>
      </c>
      <c r="E335" s="172"/>
      <c r="F335">
        <v>226.46876396060969</v>
      </c>
    </row>
    <row r="336" spans="1:6">
      <c r="A336" s="172">
        <v>43344</v>
      </c>
      <c r="B336" s="172"/>
      <c r="C336">
        <v>-5.8180131172999201E-2</v>
      </c>
      <c r="E336" s="172"/>
      <c r="F336">
        <v>229.28064251243924</v>
      </c>
    </row>
    <row r="337" spans="1:6">
      <c r="A337" s="172">
        <v>43374</v>
      </c>
      <c r="B337" s="172"/>
      <c r="C337">
        <v>-1.2583824175774614E-2</v>
      </c>
      <c r="E337" s="172"/>
      <c r="F337">
        <v>223.16487750244454</v>
      </c>
    </row>
    <row r="338" spans="1:6">
      <c r="A338" s="172">
        <v>43405</v>
      </c>
      <c r="B338" s="172"/>
      <c r="C338">
        <v>4.4668247870787298E-2</v>
      </c>
      <c r="E338" s="172"/>
      <c r="F338">
        <v>232.83768073818982</v>
      </c>
    </row>
    <row r="339" spans="1:6">
      <c r="A339" s="172">
        <v>43435</v>
      </c>
      <c r="B339" s="172"/>
      <c r="C339">
        <v>0.29553864450210554</v>
      </c>
      <c r="E339" s="172"/>
      <c r="F339">
        <v>246.73186109658513</v>
      </c>
    </row>
    <row r="340" spans="1:6">
      <c r="A340" s="172">
        <v>43466</v>
      </c>
      <c r="B340" s="172"/>
      <c r="C340">
        <v>0.23409024301855644</v>
      </c>
      <c r="E340" s="172"/>
      <c r="F340">
        <v>234.77037714753561</v>
      </c>
    </row>
    <row r="341" spans="1:6">
      <c r="A341" s="172">
        <v>43497</v>
      </c>
      <c r="B341" s="172"/>
      <c r="C341">
        <v>9.9234715910136773E-2</v>
      </c>
      <c r="E341" s="172"/>
      <c r="F341">
        <v>222.19933717929152</v>
      </c>
    </row>
    <row r="342" spans="1:6">
      <c r="A342" s="172">
        <v>43525</v>
      </c>
      <c r="B342" s="172"/>
      <c r="C342">
        <v>0.18641822264727956</v>
      </c>
      <c r="E342" s="172"/>
      <c r="F342">
        <v>219.78278125562971</v>
      </c>
    </row>
    <row r="343" spans="1:6">
      <c r="A343" s="172">
        <v>43556</v>
      </c>
      <c r="B343" s="172"/>
      <c r="C343">
        <v>0.11280278533230119</v>
      </c>
      <c r="E343" s="172"/>
      <c r="F343">
        <v>217.0130059063965</v>
      </c>
    </row>
    <row r="344" spans="1:6">
      <c r="A344" s="172">
        <v>43586</v>
      </c>
      <c r="B344" s="172"/>
      <c r="C344">
        <v>0.28603309036893532</v>
      </c>
      <c r="E344" s="172"/>
      <c r="F344">
        <v>223.91819755054229</v>
      </c>
    </row>
    <row r="345" spans="1:6">
      <c r="A345" s="172">
        <v>43617</v>
      </c>
      <c r="B345" s="172"/>
      <c r="C345">
        <v>0.35541419814391739</v>
      </c>
      <c r="E345" s="172"/>
      <c r="F345">
        <v>227.22371813767856</v>
      </c>
    </row>
    <row r="346" spans="1:6">
      <c r="A346" s="172">
        <v>43647</v>
      </c>
      <c r="B346" s="172"/>
      <c r="C346">
        <v>0.15121445792644259</v>
      </c>
      <c r="E346" s="172"/>
      <c r="F346">
        <v>225.82314775117439</v>
      </c>
    </row>
    <row r="347" spans="1:6">
      <c r="A347" s="172">
        <v>43678</v>
      </c>
      <c r="B347" s="172"/>
      <c r="C347">
        <v>0.37301826137981553</v>
      </c>
      <c r="E347" s="172"/>
      <c r="F347">
        <v>254.73099927460277</v>
      </c>
    </row>
    <row r="348" spans="1:6">
      <c r="A348" s="172">
        <v>43709</v>
      </c>
      <c r="B348" s="172"/>
      <c r="C348">
        <v>0.1560805957580518</v>
      </c>
      <c r="E348" s="172"/>
      <c r="F348">
        <v>261.70389286919345</v>
      </c>
    </row>
    <row r="349" spans="1:6">
      <c r="A349" s="172">
        <v>43739</v>
      </c>
      <c r="B349" s="172"/>
      <c r="C349">
        <v>0.18473216528037964</v>
      </c>
      <c r="E349" s="172"/>
      <c r="F349">
        <v>279.05352744073218</v>
      </c>
    </row>
    <row r="350" spans="1:6">
      <c r="A350" s="172">
        <v>43770</v>
      </c>
      <c r="B350" s="172"/>
      <c r="C350">
        <v>0.15586811846460438</v>
      </c>
      <c r="E350" s="172"/>
      <c r="F350">
        <v>265.50247153982855</v>
      </c>
    </row>
    <row r="351" spans="1:6">
      <c r="A351" s="172">
        <v>43800</v>
      </c>
      <c r="B351" s="172"/>
      <c r="C351">
        <v>0.14559701610129971</v>
      </c>
      <c r="E351" s="172"/>
      <c r="F351">
        <v>253.18954481407502</v>
      </c>
    </row>
    <row r="352" spans="1:6">
      <c r="A352" s="172">
        <v>43831</v>
      </c>
      <c r="B352" s="172"/>
      <c r="C352">
        <v>0.16101388648594192</v>
      </c>
      <c r="E352" s="172"/>
      <c r="F352">
        <v>251.74171226639348</v>
      </c>
    </row>
    <row r="353" spans="1:6">
      <c r="A353" s="172">
        <v>43862</v>
      </c>
      <c r="B353" s="172"/>
      <c r="C353">
        <v>0.36375587832230805</v>
      </c>
      <c r="E353" s="172"/>
      <c r="F353">
        <v>250.69061699541842</v>
      </c>
    </row>
    <row r="354" spans="1:6">
      <c r="A354" s="172">
        <v>43891</v>
      </c>
      <c r="B354" s="172"/>
      <c r="C354">
        <v>0.97205030710714457</v>
      </c>
      <c r="E354" s="172"/>
      <c r="F354">
        <v>394.70386946766882</v>
      </c>
    </row>
    <row r="355" spans="1:6">
      <c r="A355" s="172">
        <v>43922</v>
      </c>
      <c r="B355" s="172"/>
      <c r="C355">
        <v>1.3124055731913769</v>
      </c>
      <c r="E355" s="172"/>
      <c r="F355">
        <v>459.57938951659884</v>
      </c>
    </row>
    <row r="356" spans="1:6">
      <c r="A356" s="172">
        <v>43952</v>
      </c>
      <c r="B356" s="172"/>
      <c r="C356">
        <v>1.051863492122763</v>
      </c>
      <c r="E356" s="172"/>
      <c r="F356">
        <v>436.24213662050443</v>
      </c>
    </row>
    <row r="357" spans="1:6">
      <c r="A357" s="172">
        <v>43983</v>
      </c>
      <c r="B357" s="172"/>
      <c r="C357">
        <v>0.77194248017442957</v>
      </c>
      <c r="E357" s="172"/>
      <c r="F357">
        <v>394.69680600211422</v>
      </c>
    </row>
    <row r="358" spans="1:6">
      <c r="A358" s="172">
        <v>44013</v>
      </c>
      <c r="B358" s="172"/>
      <c r="C358">
        <v>0.53308676489825313</v>
      </c>
      <c r="E358" s="172"/>
      <c r="F358">
        <v>385.11421822130137</v>
      </c>
    </row>
    <row r="359" spans="1:6">
      <c r="A359" s="172">
        <v>44044</v>
      </c>
      <c r="B359" s="172"/>
      <c r="C359">
        <v>0.3286150902290022</v>
      </c>
      <c r="E359" s="172"/>
      <c r="F359">
        <v>367.70488607174059</v>
      </c>
    </row>
    <row r="360" spans="1:6">
      <c r="A360" s="172">
        <v>44075</v>
      </c>
      <c r="B360" s="172"/>
      <c r="C360">
        <v>0.25371904264354322</v>
      </c>
      <c r="E360" s="172"/>
      <c r="F360">
        <v>351.98248329249208</v>
      </c>
    </row>
    <row r="361" spans="1:6">
      <c r="A361" s="172">
        <v>44105</v>
      </c>
      <c r="B361" s="172"/>
      <c r="C361">
        <v>0.17065301841133185</v>
      </c>
      <c r="E361" s="172"/>
      <c r="F361">
        <v>335.65168977082612</v>
      </c>
    </row>
    <row r="362" spans="1:6">
      <c r="A362" s="172">
        <v>44136</v>
      </c>
      <c r="B362" s="172"/>
      <c r="C362">
        <v>0.15157748289086043</v>
      </c>
      <c r="E362" s="172"/>
      <c r="F362">
        <v>309.93720427196638</v>
      </c>
    </row>
    <row r="363" spans="1:6">
      <c r="A363" s="172">
        <v>44166</v>
      </c>
      <c r="B363" s="172"/>
      <c r="C363">
        <v>0.13602522573535888</v>
      </c>
      <c r="E363" s="172"/>
      <c r="F363">
        <v>301.68651531022596</v>
      </c>
    </row>
    <row r="364" spans="1:6">
      <c r="A364" s="172">
        <v>44197</v>
      </c>
      <c r="B364" s="172"/>
      <c r="C364">
        <v>0.11940558507620277</v>
      </c>
      <c r="E364" s="172"/>
      <c r="F364">
        <v>300.14559064081936</v>
      </c>
    </row>
    <row r="365" spans="1:6">
      <c r="A365" s="172">
        <v>44228</v>
      </c>
      <c r="B365" s="172"/>
      <c r="C365">
        <v>0.10694203126489417</v>
      </c>
      <c r="E365" s="172"/>
      <c r="F365">
        <v>296.82425230646282</v>
      </c>
    </row>
    <row r="366" spans="1:6">
      <c r="A366" s="172">
        <v>44256</v>
      </c>
      <c r="B366" s="172"/>
      <c r="C366">
        <v>5.0086403051393537E-2</v>
      </c>
      <c r="E366" s="172"/>
      <c r="F366">
        <v>301.00464465488676</v>
      </c>
    </row>
    <row r="367" spans="1:6">
      <c r="A367" s="172">
        <v>44287</v>
      </c>
      <c r="B367" s="172"/>
      <c r="C367">
        <v>4.6303807981852907E-2</v>
      </c>
      <c r="E367" s="172"/>
      <c r="F367">
        <v>297.79113526167691</v>
      </c>
    </row>
    <row r="368" spans="1:6">
      <c r="A368" s="172">
        <v>44317</v>
      </c>
      <c r="B368" s="172"/>
      <c r="C368">
        <v>6.2798994067701217E-2</v>
      </c>
      <c r="E368" s="172"/>
      <c r="F368">
        <v>293.4079016453598</v>
      </c>
    </row>
    <row r="369" spans="1:6">
      <c r="A369" s="172">
        <v>44348</v>
      </c>
      <c r="B369" s="172"/>
      <c r="C369">
        <v>-7.0900844374360047E-2</v>
      </c>
      <c r="E369" s="172"/>
      <c r="F369">
        <v>298.29007434757602</v>
      </c>
    </row>
    <row r="370" spans="1:6">
      <c r="A370" s="172">
        <v>44378</v>
      </c>
      <c r="B370" s="172"/>
      <c r="C370">
        <v>-9.6158483011130572E-2</v>
      </c>
      <c r="E370" s="172"/>
      <c r="F370">
        <v>306.67346463273594</v>
      </c>
    </row>
    <row r="371" spans="1:6">
      <c r="A371" s="172">
        <v>44409</v>
      </c>
      <c r="B371" s="172"/>
      <c r="C371">
        <v>-0.14982534283235066</v>
      </c>
      <c r="E371" s="172"/>
      <c r="F371">
        <v>312.241699606628</v>
      </c>
    </row>
    <row r="372" spans="1:6">
      <c r="A372" s="172">
        <v>44440</v>
      </c>
      <c r="B372" s="172"/>
      <c r="C372">
        <v>-0.20029559238198663</v>
      </c>
      <c r="E372" s="172"/>
      <c r="F372">
        <v>313.98919771075441</v>
      </c>
    </row>
    <row r="373" spans="1:6">
      <c r="A373" s="172">
        <v>44470</v>
      </c>
      <c r="B373" s="172"/>
      <c r="C373">
        <v>-0.12673210813196262</v>
      </c>
      <c r="E373" s="172"/>
      <c r="F373">
        <v>323.9027221689318</v>
      </c>
    </row>
    <row r="374" spans="1:6">
      <c r="A374" s="172">
        <v>44501</v>
      </c>
      <c r="B374" s="172"/>
      <c r="C374">
        <v>-0.12828057504598506</v>
      </c>
      <c r="E374" s="172"/>
      <c r="F374">
        <v>322.47051539656752</v>
      </c>
    </row>
    <row r="375" spans="1:6">
      <c r="A375" s="172">
        <v>44531</v>
      </c>
      <c r="B375" s="172"/>
      <c r="C375">
        <v>-0.15813042420381024</v>
      </c>
      <c r="E375" s="172"/>
      <c r="F375">
        <v>357.28843791812818</v>
      </c>
    </row>
    <row r="376" spans="1:6">
      <c r="A376" s="172">
        <v>44562</v>
      </c>
      <c r="B376" s="172"/>
      <c r="C376">
        <v>-0.1686021260907736</v>
      </c>
      <c r="E376" s="172"/>
      <c r="F376">
        <v>376.0858634468658</v>
      </c>
    </row>
    <row r="377" spans="1:6">
      <c r="A377" s="172">
        <v>44593</v>
      </c>
      <c r="B377" s="172"/>
      <c r="C377">
        <v>-0.124955252903692</v>
      </c>
      <c r="E377" s="172"/>
      <c r="F377">
        <v>413.30923377798933</v>
      </c>
    </row>
    <row r="378" spans="1:6">
      <c r="A378" s="172">
        <v>44621</v>
      </c>
      <c r="B378" s="172"/>
      <c r="C378">
        <v>-0.24523211910433967</v>
      </c>
      <c r="E378" s="172"/>
      <c r="F378">
        <v>652.89774157156376</v>
      </c>
    </row>
    <row r="379" spans="1:6">
      <c r="A379" s="172">
        <v>44652</v>
      </c>
      <c r="B379" s="172"/>
      <c r="C379">
        <v>-0.3007815412158043</v>
      </c>
      <c r="E379" s="172"/>
      <c r="F379">
        <v>558.62446968788561</v>
      </c>
    </row>
    <row r="380" spans="1:6">
      <c r="A380" s="172">
        <v>44682</v>
      </c>
      <c r="B380" s="172"/>
      <c r="C380">
        <v>-0.22959518089208075</v>
      </c>
      <c r="E380" s="172"/>
      <c r="F380">
        <v>578.23042300992142</v>
      </c>
    </row>
    <row r="381" spans="1:6">
      <c r="A381" s="172">
        <v>44713</v>
      </c>
      <c r="B381" s="172"/>
      <c r="C381">
        <v>-0.29174513262342366</v>
      </c>
      <c r="E381" s="172"/>
      <c r="F381">
        <v>586.27721111645053</v>
      </c>
    </row>
    <row r="382" spans="1:6">
      <c r="A382" s="172">
        <v>44743</v>
      </c>
      <c r="B382" s="172"/>
      <c r="C382">
        <v>-0.26557707368298594</v>
      </c>
      <c r="E382" s="172"/>
      <c r="F382">
        <v>643.86107666141243</v>
      </c>
    </row>
    <row r="383" spans="1:6">
      <c r="A383" s="172">
        <v>44774</v>
      </c>
      <c r="B383" s="172"/>
      <c r="C383">
        <v>-0.24508382012852911</v>
      </c>
      <c r="E383" s="172"/>
      <c r="F383">
        <v>610.47086247128323</v>
      </c>
    </row>
    <row r="384" spans="1:6">
      <c r="A384" s="172">
        <v>44805</v>
      </c>
      <c r="B384" s="172"/>
      <c r="C384">
        <v>-0.39971867348328954</v>
      </c>
      <c r="E384" s="172"/>
      <c r="F384">
        <v>630.85994257955724</v>
      </c>
    </row>
    <row r="385" spans="1:6">
      <c r="A385" s="172">
        <v>44835</v>
      </c>
      <c r="B385" s="172"/>
      <c r="C385">
        <v>-0.62522555390185264</v>
      </c>
      <c r="E385" s="172"/>
      <c r="F385">
        <v>676.30700404652953</v>
      </c>
    </row>
    <row r="386" spans="1:6">
      <c r="A386" s="172">
        <v>44866</v>
      </c>
      <c r="B386" s="172"/>
      <c r="C386">
        <v>-0.57553779219150281</v>
      </c>
      <c r="E386" s="172"/>
      <c r="F386">
        <v>634.00317864365945</v>
      </c>
    </row>
    <row r="387" spans="1:6">
      <c r="A387" s="172">
        <v>44896</v>
      </c>
      <c r="B387" s="172"/>
      <c r="C387">
        <v>-0.50603054948033699</v>
      </c>
      <c r="E387" s="172"/>
      <c r="F387">
        <v>597.80502783632505</v>
      </c>
    </row>
    <row r="388" spans="1:6">
      <c r="A388" s="172">
        <v>44927</v>
      </c>
      <c r="B388" s="172"/>
      <c r="C388">
        <v>-0.50798322717515987</v>
      </c>
      <c r="E388" s="172"/>
      <c r="F388">
        <v>596.57361103134349</v>
      </c>
    </row>
    <row r="389" spans="1:6">
      <c r="A389" s="172">
        <v>44958</v>
      </c>
      <c r="B389" s="172"/>
      <c r="C389">
        <v>-0.56196807329125964</v>
      </c>
      <c r="E389" s="172"/>
      <c r="F389">
        <v>583.45482808592965</v>
      </c>
    </row>
    <row r="390" spans="1:6">
      <c r="A390" s="172">
        <v>44986</v>
      </c>
      <c r="B390" s="172"/>
      <c r="C390">
        <v>-0.54254096646627514</v>
      </c>
      <c r="E390" s="172"/>
      <c r="F390">
        <v>606.54145658253276</v>
      </c>
    </row>
    <row r="391" spans="1:6">
      <c r="A391" s="172"/>
      <c r="B391" s="172"/>
      <c r="E391" s="172"/>
    </row>
  </sheetData>
  <pageMargins left="0.7" right="0.7" top="0.75" bottom="0.75" header="0.3" footer="0.3"/>
  <pageSetup orientation="portrait" horizontalDpi="90" verticalDpi="9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4B1F-4E71-432E-9FAB-24AD01FAD350}">
  <dimension ref="A1:AK64"/>
  <sheetViews>
    <sheetView showGridLines="0" zoomScaleNormal="100" workbookViewId="0">
      <pane xSplit="4" ySplit="7" topLeftCell="E50" activePane="bottomRight" state="frozen"/>
      <selection pane="bottomRight" activeCell="B88" sqref="B88:K88"/>
      <selection pane="bottomLeft" activeCell="B88" sqref="B88:K88"/>
      <selection pane="topRight" activeCell="B88" sqref="B88:K88"/>
    </sheetView>
  </sheetViews>
  <sheetFormatPr defaultColWidth="9.140625" defaultRowHeight="14.25"/>
  <cols>
    <col min="1" max="1" width="3.7109375" style="352" hidden="1" customWidth="1"/>
    <col min="2" max="2" width="3.140625" style="352" hidden="1" customWidth="1"/>
    <col min="3" max="3" width="2.7109375" style="345" customWidth="1"/>
    <col min="4" max="4" width="20.28515625" style="348" customWidth="1"/>
    <col min="5" max="5" width="11.7109375" style="397" customWidth="1"/>
    <col min="6" max="6" width="26.85546875" style="397" bestFit="1" customWidth="1"/>
    <col min="7" max="7" width="1" style="397" customWidth="1"/>
    <col min="8" max="8" width="13" style="397" customWidth="1"/>
    <col min="9" max="9" width="2.7109375" style="397" customWidth="1"/>
    <col min="10" max="10" width="11.7109375" style="397" customWidth="1"/>
    <col min="11" max="11" width="26.85546875" style="397" bestFit="1" customWidth="1"/>
    <col min="12" max="12" width="1" style="397" customWidth="1"/>
    <col min="13" max="13" width="12.85546875" style="397" customWidth="1"/>
    <col min="14" max="14" width="2.7109375" style="397" customWidth="1"/>
    <col min="15" max="15" width="11.7109375" style="397" customWidth="1"/>
    <col min="16" max="16" width="26.85546875" style="397" bestFit="1" customWidth="1"/>
    <col min="17" max="17" width="13.140625" style="397" customWidth="1"/>
    <col min="18" max="18" width="0.85546875" style="397" customWidth="1"/>
    <col min="19" max="19" width="2.28515625" style="398" customWidth="1"/>
    <col min="20" max="21" width="2.28515625" style="398" hidden="1" customWidth="1"/>
    <col min="22" max="23" width="3.5703125" style="398" hidden="1" customWidth="1"/>
    <col min="24" max="24" width="2.28515625" style="398" hidden="1" customWidth="1"/>
    <col min="25" max="25" width="36.28515625" style="398" hidden="1" customWidth="1"/>
    <col min="26" max="26" width="2.28515625" style="398" hidden="1" customWidth="1"/>
    <col min="27" max="27" width="8" style="399" hidden="1" customWidth="1"/>
    <col min="28" max="30" width="13.140625" style="400" hidden="1" customWidth="1"/>
    <col min="31" max="31" width="0" style="400" hidden="1" customWidth="1"/>
    <col min="32" max="32" width="15.42578125" style="400" hidden="1" customWidth="1"/>
    <col min="33" max="33" width="16.28515625" style="400" hidden="1" customWidth="1"/>
    <col min="34" max="34" width="24" style="400" hidden="1" customWidth="1"/>
    <col min="35" max="35" width="35.42578125" style="400" hidden="1" customWidth="1"/>
    <col min="36" max="37" width="0" style="400" hidden="1" customWidth="1"/>
    <col min="38" max="38" width="0" style="345" hidden="1" customWidth="1"/>
    <col min="39" max="16384" width="9.140625" style="345"/>
  </cols>
  <sheetData>
    <row r="1" spans="1:37">
      <c r="T1" s="398" t="s">
        <v>1245</v>
      </c>
    </row>
    <row r="2" spans="1:37">
      <c r="D2" s="347"/>
    </row>
    <row r="3" spans="1:37">
      <c r="D3" s="347"/>
    </row>
    <row r="4" spans="1:37" ht="15">
      <c r="D4" s="401" t="s">
        <v>1246</v>
      </c>
      <c r="E4" s="402"/>
      <c r="F4" s="402"/>
      <c r="G4" s="402"/>
      <c r="H4" s="402"/>
      <c r="I4" s="402"/>
      <c r="J4" s="402"/>
      <c r="K4" s="402"/>
      <c r="L4" s="402"/>
      <c r="M4" s="402"/>
      <c r="N4" s="402"/>
      <c r="O4" s="402"/>
      <c r="P4" s="402"/>
      <c r="Q4" s="402"/>
      <c r="R4" s="402"/>
      <c r="S4" s="403"/>
      <c r="T4" s="403"/>
      <c r="U4" s="403"/>
      <c r="V4" s="403"/>
      <c r="W4" s="403"/>
      <c r="X4" s="403"/>
      <c r="Y4" s="403"/>
      <c r="Z4" s="403"/>
    </row>
    <row r="5" spans="1:37">
      <c r="D5" s="404"/>
      <c r="E5" s="632" t="s">
        <v>1206</v>
      </c>
      <c r="F5" s="632"/>
      <c r="G5" s="632"/>
      <c r="H5" s="632"/>
      <c r="I5" s="356"/>
      <c r="J5" s="632" t="s">
        <v>1207</v>
      </c>
      <c r="K5" s="632"/>
      <c r="L5" s="632"/>
      <c r="M5" s="632"/>
      <c r="N5" s="356"/>
      <c r="O5" s="632" t="s">
        <v>137</v>
      </c>
      <c r="P5" s="632"/>
      <c r="Q5" s="357"/>
      <c r="R5" s="405"/>
      <c r="S5" s="403"/>
      <c r="T5" s="403"/>
      <c r="U5" s="403"/>
      <c r="V5" s="403"/>
      <c r="W5" s="403"/>
      <c r="X5" s="403"/>
      <c r="Y5" s="403"/>
      <c r="Z5" s="403"/>
      <c r="AA5" s="406"/>
    </row>
    <row r="6" spans="1:37" ht="25.5" customHeight="1">
      <c r="D6" s="407"/>
      <c r="E6" s="633" t="s">
        <v>1208</v>
      </c>
      <c r="F6" s="633"/>
      <c r="G6" s="361"/>
      <c r="H6" s="634" t="s">
        <v>1247</v>
      </c>
      <c r="I6" s="362"/>
      <c r="J6" s="633" t="s">
        <v>1208</v>
      </c>
      <c r="K6" s="633"/>
      <c r="L6" s="361"/>
      <c r="M6" s="634" t="s">
        <v>1247</v>
      </c>
      <c r="N6" s="362"/>
      <c r="O6" s="633" t="s">
        <v>1208</v>
      </c>
      <c r="P6" s="633"/>
      <c r="Q6" s="634" t="s">
        <v>1210</v>
      </c>
      <c r="R6" s="640"/>
      <c r="S6" s="408"/>
      <c r="T6" s="408"/>
      <c r="U6" s="408"/>
      <c r="V6" s="408"/>
      <c r="W6" s="408"/>
      <c r="X6" s="408"/>
      <c r="Y6" s="408"/>
      <c r="Z6" s="408"/>
      <c r="AA6" s="409" t="s">
        <v>1211</v>
      </c>
      <c r="AB6" s="638" t="s">
        <v>1212</v>
      </c>
      <c r="AC6" s="638"/>
    </row>
    <row r="7" spans="1:37" ht="15">
      <c r="A7" s="366" t="s">
        <v>1248</v>
      </c>
      <c r="D7" s="407"/>
      <c r="E7" s="367" t="s">
        <v>1214</v>
      </c>
      <c r="F7" s="367" t="s">
        <v>1215</v>
      </c>
      <c r="G7" s="356"/>
      <c r="H7" s="639"/>
      <c r="I7" s="356"/>
      <c r="J7" s="367" t="s">
        <v>1214</v>
      </c>
      <c r="K7" s="367" t="s">
        <v>1215</v>
      </c>
      <c r="L7" s="356"/>
      <c r="M7" s="639"/>
      <c r="N7" s="356"/>
      <c r="O7" s="367" t="s">
        <v>1214</v>
      </c>
      <c r="P7" s="367" t="s">
        <v>1215</v>
      </c>
      <c r="Q7" s="639"/>
      <c r="R7" s="641"/>
      <c r="S7" s="408"/>
      <c r="T7" s="408"/>
      <c r="U7" s="408"/>
      <c r="V7" s="408"/>
      <c r="W7" s="408"/>
      <c r="X7" s="408"/>
      <c r="Y7" s="408"/>
      <c r="Z7" s="408"/>
      <c r="AA7" s="410"/>
      <c r="AB7" s="411" t="s">
        <v>1216</v>
      </c>
      <c r="AC7" s="411" t="s">
        <v>1217</v>
      </c>
      <c r="AD7" s="411" t="s">
        <v>1218</v>
      </c>
    </row>
    <row r="8" spans="1:37">
      <c r="A8" s="370" t="s">
        <v>1235</v>
      </c>
      <c r="B8" s="371" t="s">
        <v>1234</v>
      </c>
      <c r="D8" s="412" t="s">
        <v>969</v>
      </c>
      <c r="E8" s="413" t="s">
        <v>1235</v>
      </c>
      <c r="F8" s="414" t="s">
        <v>1235</v>
      </c>
      <c r="G8" s="414"/>
      <c r="H8" s="414" t="s">
        <v>1234</v>
      </c>
      <c r="I8" s="414"/>
      <c r="J8" s="414" t="s">
        <v>139</v>
      </c>
      <c r="K8" s="414" t="s">
        <v>139</v>
      </c>
      <c r="L8" s="414"/>
      <c r="M8" s="414" t="s">
        <v>139</v>
      </c>
      <c r="N8" s="414"/>
      <c r="O8" s="414" t="s">
        <v>1235</v>
      </c>
      <c r="P8" s="414" t="s">
        <v>1235</v>
      </c>
      <c r="Q8" s="414" t="s">
        <v>1229</v>
      </c>
      <c r="R8" s="383"/>
      <c r="S8" s="408"/>
      <c r="T8" s="408"/>
      <c r="U8" s="408">
        <v>1</v>
      </c>
      <c r="V8" s="408">
        <v>1</v>
      </c>
      <c r="W8" s="408"/>
      <c r="X8" s="408"/>
      <c r="Y8" s="415" t="s">
        <v>1249</v>
      </c>
      <c r="Z8" s="408"/>
      <c r="AA8" s="399" t="s">
        <v>1250</v>
      </c>
      <c r="AB8" s="400" t="e">
        <v>#REF!</v>
      </c>
      <c r="AC8" s="400" t="e">
        <v>#REF!</v>
      </c>
      <c r="AD8" s="400" t="e">
        <v>#REF!</v>
      </c>
      <c r="AF8" s="416" t="s">
        <v>1225</v>
      </c>
      <c r="AG8" s="416"/>
      <c r="AH8" s="416"/>
      <c r="AI8" s="416"/>
      <c r="AJ8" s="416"/>
      <c r="AK8" s="416"/>
    </row>
    <row r="9" spans="1:37">
      <c r="A9" s="417" t="s">
        <v>1251</v>
      </c>
      <c r="B9" s="418" t="s">
        <v>318</v>
      </c>
      <c r="D9" s="380" t="s">
        <v>1252</v>
      </c>
      <c r="E9" s="381" t="s">
        <v>1222</v>
      </c>
      <c r="F9" s="382" t="s">
        <v>1251</v>
      </c>
      <c r="G9" s="382"/>
      <c r="H9" s="382" t="s">
        <v>505</v>
      </c>
      <c r="I9" s="382"/>
      <c r="J9" s="382" t="s">
        <v>139</v>
      </c>
      <c r="K9" s="382" t="s">
        <v>139</v>
      </c>
      <c r="L9" s="382"/>
      <c r="M9" s="382" t="s">
        <v>139</v>
      </c>
      <c r="N9" s="382"/>
      <c r="O9" s="382" t="s">
        <v>1222</v>
      </c>
      <c r="P9" s="382" t="s">
        <v>1251</v>
      </c>
      <c r="Q9" s="382" t="s">
        <v>317</v>
      </c>
      <c r="R9" s="383"/>
      <c r="U9" s="398">
        <v>1</v>
      </c>
      <c r="V9" s="408" t="s">
        <v>1236</v>
      </c>
      <c r="Y9" s="386" t="s">
        <v>1237</v>
      </c>
      <c r="AA9" s="399" t="s">
        <v>1250</v>
      </c>
      <c r="AB9" s="400" t="e">
        <v>#REF!</v>
      </c>
      <c r="AC9" s="400" t="e">
        <v>#REF!</v>
      </c>
      <c r="AD9" s="400" t="e">
        <v>#REF!</v>
      </c>
      <c r="AF9" s="416" t="s">
        <v>1225</v>
      </c>
      <c r="AG9" s="416" t="s">
        <v>318</v>
      </c>
      <c r="AH9" s="416"/>
      <c r="AI9" s="416"/>
      <c r="AJ9" s="416"/>
      <c r="AK9" s="416"/>
    </row>
    <row r="10" spans="1:37">
      <c r="A10" s="417" t="s">
        <v>1253</v>
      </c>
      <c r="B10" s="418" t="s">
        <v>1234</v>
      </c>
      <c r="D10" s="380" t="s">
        <v>971</v>
      </c>
      <c r="E10" s="381" t="s">
        <v>1222</v>
      </c>
      <c r="F10" s="382" t="s">
        <v>1253</v>
      </c>
      <c r="G10" s="382"/>
      <c r="H10" s="382" t="s">
        <v>1234</v>
      </c>
      <c r="I10" s="382"/>
      <c r="J10" s="382" t="s">
        <v>1235</v>
      </c>
      <c r="K10" s="382" t="s">
        <v>1235</v>
      </c>
      <c r="L10" s="382"/>
      <c r="M10" s="382" t="s">
        <v>1234</v>
      </c>
      <c r="N10" s="382"/>
      <c r="O10" s="382" t="s">
        <v>1235</v>
      </c>
      <c r="P10" s="382" t="s">
        <v>1235</v>
      </c>
      <c r="Q10" s="382" t="s">
        <v>317</v>
      </c>
      <c r="R10" s="383"/>
      <c r="U10" s="398">
        <v>1</v>
      </c>
      <c r="V10" s="408">
        <v>1</v>
      </c>
      <c r="Y10" s="419" t="s">
        <v>1254</v>
      </c>
      <c r="AA10" s="399" t="s">
        <v>1231</v>
      </c>
      <c r="AB10" s="400" t="e">
        <v>#REF!</v>
      </c>
      <c r="AC10" s="400" t="e">
        <v>#REF!</v>
      </c>
      <c r="AD10" s="400" t="e">
        <v>#REF!</v>
      </c>
      <c r="AF10" s="416">
        <v>0</v>
      </c>
      <c r="AG10" s="416"/>
      <c r="AH10" s="416"/>
      <c r="AI10" s="416"/>
      <c r="AJ10" s="416"/>
      <c r="AK10" s="420"/>
    </row>
    <row r="11" spans="1:37">
      <c r="A11" s="417" t="s">
        <v>1232</v>
      </c>
      <c r="B11" s="418" t="s">
        <v>1234</v>
      </c>
      <c r="D11" s="380" t="s">
        <v>1255</v>
      </c>
      <c r="E11" s="381" t="s">
        <v>1222</v>
      </c>
      <c r="F11" s="382" t="s">
        <v>1232</v>
      </c>
      <c r="G11" s="382"/>
      <c r="H11" s="382" t="s">
        <v>1234</v>
      </c>
      <c r="I11" s="382"/>
      <c r="J11" s="382" t="s">
        <v>139</v>
      </c>
      <c r="K11" s="382" t="s">
        <v>139</v>
      </c>
      <c r="L11" s="382"/>
      <c r="M11" s="382" t="s">
        <v>139</v>
      </c>
      <c r="N11" s="382"/>
      <c r="O11" s="382" t="s">
        <v>1222</v>
      </c>
      <c r="P11" s="382" t="s">
        <v>1232</v>
      </c>
      <c r="Q11" s="382" t="s">
        <v>317</v>
      </c>
      <c r="R11" s="383"/>
      <c r="S11" s="397"/>
      <c r="T11" s="397"/>
      <c r="U11" s="397">
        <v>1</v>
      </c>
      <c r="V11" s="408">
        <v>1</v>
      </c>
      <c r="W11" s="397"/>
      <c r="X11" s="397"/>
      <c r="Y11" s="397"/>
      <c r="AB11" s="400" t="e">
        <v>#REF!</v>
      </c>
      <c r="AC11" s="400" t="e">
        <v>#REF!</v>
      </c>
      <c r="AD11" s="400" t="e">
        <v>#REF!</v>
      </c>
      <c r="AF11" s="416" t="s">
        <v>1225</v>
      </c>
      <c r="AG11" s="416" t="s">
        <v>1227</v>
      </c>
      <c r="AH11" s="416" t="s">
        <v>1230</v>
      </c>
      <c r="AI11" s="416"/>
      <c r="AJ11" s="416"/>
      <c r="AK11" s="416"/>
    </row>
    <row r="12" spans="1:37">
      <c r="A12" s="417" t="s">
        <v>1256</v>
      </c>
      <c r="B12" s="418" t="s">
        <v>1234</v>
      </c>
      <c r="D12" s="380" t="s">
        <v>1257</v>
      </c>
      <c r="E12" s="381" t="s">
        <v>1258</v>
      </c>
      <c r="F12" s="382" t="s">
        <v>1256</v>
      </c>
      <c r="G12" s="382"/>
      <c r="H12" s="382" t="s">
        <v>1234</v>
      </c>
      <c r="I12" s="382"/>
      <c r="J12" s="382" t="s">
        <v>1258</v>
      </c>
      <c r="K12" s="382" t="s">
        <v>1256</v>
      </c>
      <c r="L12" s="382"/>
      <c r="M12" s="382" t="s">
        <v>1234</v>
      </c>
      <c r="N12" s="382"/>
      <c r="O12" s="382" t="s">
        <v>1258</v>
      </c>
      <c r="P12" s="382" t="s">
        <v>1256</v>
      </c>
      <c r="Q12" s="382" t="s">
        <v>317</v>
      </c>
      <c r="R12" s="383"/>
      <c r="U12" s="398">
        <v>1</v>
      </c>
      <c r="V12" s="408">
        <v>1</v>
      </c>
      <c r="Y12" s="421"/>
      <c r="AB12" s="400" t="e">
        <v>#REF!</v>
      </c>
      <c r="AC12" s="400" t="e">
        <v>#REF!</v>
      </c>
      <c r="AD12" s="400" t="e">
        <v>#REF!</v>
      </c>
      <c r="AF12" s="416">
        <v>0</v>
      </c>
      <c r="AG12" s="416"/>
      <c r="AH12" s="416"/>
      <c r="AI12" s="416"/>
      <c r="AJ12" s="416"/>
      <c r="AK12" s="416"/>
    </row>
    <row r="13" spans="1:37">
      <c r="A13" s="417"/>
      <c r="B13" s="418"/>
      <c r="D13" s="380" t="s">
        <v>427</v>
      </c>
      <c r="E13" s="381" t="s">
        <v>1222</v>
      </c>
      <c r="F13" s="382" t="s">
        <v>1232</v>
      </c>
      <c r="G13" s="382"/>
      <c r="H13" s="382" t="s">
        <v>1234</v>
      </c>
      <c r="I13" s="382"/>
      <c r="J13" s="381" t="s">
        <v>1222</v>
      </c>
      <c r="K13" s="382" t="s">
        <v>1232</v>
      </c>
      <c r="L13" s="382"/>
      <c r="M13" s="382" t="s">
        <v>1234</v>
      </c>
      <c r="N13" s="382"/>
      <c r="O13" s="382" t="s">
        <v>1222</v>
      </c>
      <c r="P13" s="382" t="s">
        <v>1232</v>
      </c>
      <c r="Q13" s="382" t="s">
        <v>317</v>
      </c>
      <c r="R13" s="383"/>
      <c r="V13" s="408"/>
      <c r="Y13" s="421"/>
      <c r="AF13" s="416"/>
      <c r="AG13" s="416"/>
      <c r="AH13" s="416"/>
      <c r="AI13" s="416"/>
      <c r="AJ13" s="416"/>
      <c r="AK13" s="416"/>
    </row>
    <row r="14" spans="1:37">
      <c r="A14" s="417" t="s">
        <v>1240</v>
      </c>
      <c r="B14" s="418" t="s">
        <v>1221</v>
      </c>
      <c r="D14" s="380" t="s">
        <v>973</v>
      </c>
      <c r="E14" s="381" t="s">
        <v>1222</v>
      </c>
      <c r="F14" s="382" t="s">
        <v>1240</v>
      </c>
      <c r="G14" s="382"/>
      <c r="H14" s="382" t="s">
        <v>1221</v>
      </c>
      <c r="I14" s="382"/>
      <c r="J14" s="382" t="s">
        <v>1235</v>
      </c>
      <c r="K14" s="382" t="s">
        <v>1235</v>
      </c>
      <c r="L14" s="382"/>
      <c r="M14" s="382" t="s">
        <v>1221</v>
      </c>
      <c r="N14" s="382"/>
      <c r="O14" s="382" t="s">
        <v>1222</v>
      </c>
      <c r="P14" s="382" t="s">
        <v>1240</v>
      </c>
      <c r="Q14" s="382" t="s">
        <v>1229</v>
      </c>
      <c r="R14" s="383"/>
      <c r="U14" s="398">
        <v>1</v>
      </c>
      <c r="V14" s="408">
        <v>1</v>
      </c>
      <c r="AA14" s="399" t="s">
        <v>1231</v>
      </c>
      <c r="AB14" s="400" t="e">
        <v>#REF!</v>
      </c>
      <c r="AC14" s="400" t="e">
        <v>#REF!</v>
      </c>
      <c r="AD14" s="400" t="e">
        <v>#REF!</v>
      </c>
      <c r="AF14" s="416" t="s">
        <v>1225</v>
      </c>
      <c r="AG14" s="416" t="s">
        <v>1227</v>
      </c>
      <c r="AH14" s="416"/>
      <c r="AI14" s="416"/>
      <c r="AJ14" s="416"/>
      <c r="AK14" s="416"/>
    </row>
    <row r="15" spans="1:37">
      <c r="A15" s="417" t="s">
        <v>1232</v>
      </c>
      <c r="B15" s="418" t="s">
        <v>1234</v>
      </c>
      <c r="D15" s="380" t="s">
        <v>111</v>
      </c>
      <c r="E15" s="381" t="s">
        <v>1222</v>
      </c>
      <c r="F15" s="382" t="s">
        <v>1232</v>
      </c>
      <c r="G15" s="382"/>
      <c r="H15" s="382" t="s">
        <v>1234</v>
      </c>
      <c r="I15" s="382"/>
      <c r="J15" s="382" t="s">
        <v>1222</v>
      </c>
      <c r="K15" s="382" t="s">
        <v>1232</v>
      </c>
      <c r="L15" s="382"/>
      <c r="M15" s="382" t="s">
        <v>1234</v>
      </c>
      <c r="N15" s="382"/>
      <c r="O15" s="382" t="s">
        <v>1222</v>
      </c>
      <c r="P15" s="382" t="s">
        <v>1232</v>
      </c>
      <c r="Q15" s="382" t="s">
        <v>1229</v>
      </c>
      <c r="R15" s="383"/>
      <c r="U15" s="398">
        <v>1</v>
      </c>
      <c r="V15" s="408">
        <v>1</v>
      </c>
      <c r="AB15" s="400" t="e">
        <v>#REF!</v>
      </c>
      <c r="AC15" s="400" t="e">
        <v>#REF!</v>
      </c>
      <c r="AD15" s="400" t="e">
        <v>#REF!</v>
      </c>
      <c r="AF15" s="416" t="s">
        <v>1225</v>
      </c>
      <c r="AG15" s="416" t="s">
        <v>1227</v>
      </c>
      <c r="AH15" s="416"/>
      <c r="AI15" s="416"/>
      <c r="AJ15" s="416"/>
      <c r="AK15" s="416"/>
    </row>
    <row r="16" spans="1:37">
      <c r="A16" s="422" t="s">
        <v>1228</v>
      </c>
      <c r="B16" s="418" t="s">
        <v>318</v>
      </c>
      <c r="D16" s="380" t="s">
        <v>1259</v>
      </c>
      <c r="E16" s="381" t="s">
        <v>1222</v>
      </c>
      <c r="F16" s="382" t="s">
        <v>1228</v>
      </c>
      <c r="G16" s="382"/>
      <c r="H16" s="382" t="s">
        <v>505</v>
      </c>
      <c r="I16" s="382"/>
      <c r="J16" s="381" t="s">
        <v>1222</v>
      </c>
      <c r="K16" s="382" t="s">
        <v>1228</v>
      </c>
      <c r="L16" s="382"/>
      <c r="M16" s="382" t="s">
        <v>505</v>
      </c>
      <c r="N16" s="382"/>
      <c r="O16" s="381" t="s">
        <v>1222</v>
      </c>
      <c r="P16" s="382" t="s">
        <v>1228</v>
      </c>
      <c r="Q16" s="382" t="s">
        <v>1229</v>
      </c>
      <c r="R16" s="383"/>
      <c r="U16" s="398">
        <v>1</v>
      </c>
      <c r="V16" s="408" t="s">
        <v>1236</v>
      </c>
      <c r="Y16" s="386" t="s">
        <v>1237</v>
      </c>
      <c r="AA16" s="399" t="s">
        <v>1231</v>
      </c>
      <c r="AB16" s="400" t="e">
        <v>#REF!</v>
      </c>
      <c r="AC16" s="400" t="e">
        <v>#REF!</v>
      </c>
      <c r="AD16" s="400" t="e">
        <v>#REF!</v>
      </c>
      <c r="AF16" s="416" t="s">
        <v>1225</v>
      </c>
      <c r="AG16" s="416" t="s">
        <v>1226</v>
      </c>
      <c r="AH16" s="416" t="s">
        <v>1227</v>
      </c>
      <c r="AI16" s="416" t="s">
        <v>1230</v>
      </c>
      <c r="AJ16" s="416" t="s">
        <v>318</v>
      </c>
      <c r="AK16" s="416"/>
    </row>
    <row r="17" spans="1:37">
      <c r="A17" s="417" t="s">
        <v>1240</v>
      </c>
      <c r="B17" s="418" t="s">
        <v>1221</v>
      </c>
      <c r="D17" s="380" t="s">
        <v>430</v>
      </c>
      <c r="E17" s="381" t="s">
        <v>1222</v>
      </c>
      <c r="F17" s="382" t="s">
        <v>1240</v>
      </c>
      <c r="G17" s="382"/>
      <c r="H17" s="382" t="s">
        <v>1221</v>
      </c>
      <c r="I17" s="382"/>
      <c r="J17" s="382" t="s">
        <v>1222</v>
      </c>
      <c r="K17" s="382" t="s">
        <v>1240</v>
      </c>
      <c r="L17" s="382"/>
      <c r="M17" s="382" t="s">
        <v>1221</v>
      </c>
      <c r="N17" s="382"/>
      <c r="O17" s="382" t="s">
        <v>1222</v>
      </c>
      <c r="P17" s="382" t="s">
        <v>1240</v>
      </c>
      <c r="Q17" s="382" t="s">
        <v>317</v>
      </c>
      <c r="R17" s="383"/>
      <c r="U17" s="398">
        <v>1</v>
      </c>
      <c r="V17" s="408">
        <v>1</v>
      </c>
      <c r="AB17" s="400" t="e">
        <v>#REF!</v>
      </c>
      <c r="AC17" s="400" t="e">
        <v>#REF!</v>
      </c>
      <c r="AD17" s="400" t="e">
        <v>#REF!</v>
      </c>
      <c r="AF17" s="416" t="s">
        <v>1225</v>
      </c>
      <c r="AG17" s="416" t="s">
        <v>1227</v>
      </c>
      <c r="AH17" s="416" t="s">
        <v>318</v>
      </c>
      <c r="AI17" s="416"/>
      <c r="AJ17" s="416"/>
      <c r="AK17" s="416"/>
    </row>
    <row r="18" spans="1:37">
      <c r="A18" s="417" t="s">
        <v>1260</v>
      </c>
      <c r="B18" s="418" t="s">
        <v>505</v>
      </c>
      <c r="C18" s="423"/>
      <c r="D18" s="424" t="s">
        <v>975</v>
      </c>
      <c r="E18" s="425" t="s">
        <v>1235</v>
      </c>
      <c r="F18" s="426" t="s">
        <v>1260</v>
      </c>
      <c r="G18" s="426"/>
      <c r="H18" s="426" t="s">
        <v>505</v>
      </c>
      <c r="I18" s="426"/>
      <c r="J18" s="425" t="s">
        <v>1261</v>
      </c>
      <c r="K18" s="426" t="s">
        <v>1260</v>
      </c>
      <c r="L18" s="426"/>
      <c r="M18" s="426" t="s">
        <v>505</v>
      </c>
      <c r="N18" s="426"/>
      <c r="O18" s="425" t="s">
        <v>1261</v>
      </c>
      <c r="P18" s="426" t="s">
        <v>1260</v>
      </c>
      <c r="Q18" s="382" t="s">
        <v>1229</v>
      </c>
      <c r="R18" s="383"/>
      <c r="S18" s="387"/>
      <c r="T18" s="387"/>
      <c r="U18" s="387">
        <v>1</v>
      </c>
      <c r="V18" s="408">
        <v>1</v>
      </c>
      <c r="W18" s="387"/>
      <c r="X18" s="387"/>
      <c r="Y18" s="415" t="s">
        <v>1262</v>
      </c>
      <c r="AB18" s="400" t="e">
        <v>#REF!</v>
      </c>
      <c r="AC18" s="400" t="e">
        <v>#REF!</v>
      </c>
      <c r="AD18" s="400" t="e">
        <v>#REF!</v>
      </c>
      <c r="AF18" s="416" t="s">
        <v>1225</v>
      </c>
      <c r="AG18" s="416" t="s">
        <v>1226</v>
      </c>
      <c r="AH18" s="416" t="s">
        <v>1227</v>
      </c>
      <c r="AI18" s="416" t="s">
        <v>1230</v>
      </c>
      <c r="AJ18" s="416"/>
      <c r="AK18" s="416"/>
    </row>
    <row r="19" spans="1:37">
      <c r="A19" s="417" t="s">
        <v>1263</v>
      </c>
      <c r="B19" s="418" t="s">
        <v>1234</v>
      </c>
      <c r="D19" s="380" t="s">
        <v>977</v>
      </c>
      <c r="E19" s="381" t="s">
        <v>1258</v>
      </c>
      <c r="F19" s="382" t="s">
        <v>1263</v>
      </c>
      <c r="G19" s="382"/>
      <c r="H19" s="381" t="s">
        <v>505</v>
      </c>
      <c r="I19" s="381"/>
      <c r="J19" s="381" t="s">
        <v>1258</v>
      </c>
      <c r="K19" s="382" t="s">
        <v>1263</v>
      </c>
      <c r="L19" s="382"/>
      <c r="M19" s="381" t="s">
        <v>505</v>
      </c>
      <c r="N19" s="382"/>
      <c r="O19" s="381" t="s">
        <v>1258</v>
      </c>
      <c r="P19" s="382" t="s">
        <v>1263</v>
      </c>
      <c r="Q19" s="382" t="s">
        <v>317</v>
      </c>
      <c r="R19" s="383"/>
      <c r="U19" s="398">
        <v>1</v>
      </c>
      <c r="V19" s="408">
        <v>1</v>
      </c>
      <c r="Y19" s="415" t="s">
        <v>1264</v>
      </c>
      <c r="AB19" s="400" t="e">
        <v>#REF!</v>
      </c>
      <c r="AC19" s="400" t="e">
        <v>#REF!</v>
      </c>
      <c r="AD19" s="400" t="e">
        <v>#REF!</v>
      </c>
      <c r="AF19" s="416" t="s">
        <v>1225</v>
      </c>
      <c r="AG19" s="416" t="s">
        <v>1226</v>
      </c>
      <c r="AH19" s="416" t="s">
        <v>1227</v>
      </c>
      <c r="AI19" s="416" t="s">
        <v>1230</v>
      </c>
      <c r="AJ19" s="416" t="s">
        <v>1239</v>
      </c>
      <c r="AK19" s="416"/>
    </row>
    <row r="20" spans="1:37">
      <c r="A20" s="417" t="s">
        <v>1232</v>
      </c>
      <c r="B20" s="418" t="s">
        <v>1234</v>
      </c>
      <c r="D20" s="380" t="s">
        <v>978</v>
      </c>
      <c r="E20" s="381" t="s">
        <v>1222</v>
      </c>
      <c r="F20" s="382" t="s">
        <v>1232</v>
      </c>
      <c r="G20" s="382"/>
      <c r="H20" s="382" t="s">
        <v>1234</v>
      </c>
      <c r="I20" s="382"/>
      <c r="J20" s="382" t="s">
        <v>1222</v>
      </c>
      <c r="K20" s="382" t="s">
        <v>1232</v>
      </c>
      <c r="L20" s="382"/>
      <c r="M20" s="382" t="s">
        <v>1234</v>
      </c>
      <c r="N20" s="382"/>
      <c r="O20" s="382" t="s">
        <v>1222</v>
      </c>
      <c r="P20" s="382" t="s">
        <v>1232</v>
      </c>
      <c r="Q20" s="382" t="s">
        <v>317</v>
      </c>
      <c r="R20" s="383"/>
      <c r="U20" s="398">
        <v>1</v>
      </c>
      <c r="V20" s="408">
        <v>1</v>
      </c>
      <c r="AA20" s="399" t="s">
        <v>1231</v>
      </c>
      <c r="AB20" s="400" t="e">
        <v>#REF!</v>
      </c>
      <c r="AC20" s="400" t="e">
        <v>#REF!</v>
      </c>
      <c r="AD20" s="400" t="e">
        <v>#REF!</v>
      </c>
      <c r="AF20" s="416" t="s">
        <v>1225</v>
      </c>
      <c r="AG20" s="416" t="s">
        <v>1227</v>
      </c>
      <c r="AH20" s="416" t="s">
        <v>1230</v>
      </c>
      <c r="AI20" s="416" t="s">
        <v>318</v>
      </c>
      <c r="AJ20" s="416"/>
      <c r="AK20" s="416"/>
    </row>
    <row r="21" spans="1:37" s="349" customFormat="1" ht="12.75">
      <c r="A21" s="422" t="s">
        <v>1265</v>
      </c>
      <c r="B21" s="418" t="s">
        <v>1221</v>
      </c>
      <c r="D21" s="380" t="s">
        <v>450</v>
      </c>
      <c r="E21" s="381" t="s">
        <v>1222</v>
      </c>
      <c r="F21" s="382" t="s">
        <v>1265</v>
      </c>
      <c r="G21" s="382"/>
      <c r="H21" s="382" t="s">
        <v>1221</v>
      </c>
      <c r="I21" s="382"/>
      <c r="J21" s="382" t="s">
        <v>1222</v>
      </c>
      <c r="K21" s="382" t="s">
        <v>1265</v>
      </c>
      <c r="L21" s="382"/>
      <c r="M21" s="382" t="s">
        <v>1221</v>
      </c>
      <c r="N21" s="382"/>
      <c r="O21" s="382" t="s">
        <v>1222</v>
      </c>
      <c r="P21" s="382" t="s">
        <v>1265</v>
      </c>
      <c r="Q21" s="382" t="s">
        <v>1229</v>
      </c>
      <c r="R21" s="383"/>
      <c r="S21" s="398"/>
      <c r="T21" s="398"/>
      <c r="U21" s="398">
        <v>1</v>
      </c>
      <c r="V21" s="408">
        <v>1</v>
      </c>
      <c r="W21" s="398"/>
      <c r="X21" s="398"/>
      <c r="Y21" s="398"/>
      <c r="Z21" s="398"/>
      <c r="AA21" s="399" t="s">
        <v>1231</v>
      </c>
      <c r="AB21" s="400" t="e">
        <v>#REF!</v>
      </c>
      <c r="AC21" s="400" t="e">
        <v>#REF!</v>
      </c>
      <c r="AD21" s="400" t="e">
        <v>#REF!</v>
      </c>
      <c r="AE21" s="400"/>
      <c r="AF21" s="427" t="s">
        <v>1225</v>
      </c>
      <c r="AG21" s="427" t="s">
        <v>1227</v>
      </c>
      <c r="AH21" s="427" t="s">
        <v>1230</v>
      </c>
      <c r="AI21" s="427" t="s">
        <v>1266</v>
      </c>
      <c r="AJ21" s="427"/>
      <c r="AK21" s="427"/>
    </row>
    <row r="22" spans="1:37">
      <c r="A22" s="417" t="s">
        <v>1267</v>
      </c>
      <c r="B22" s="418" t="s">
        <v>1234</v>
      </c>
      <c r="D22" s="380" t="s">
        <v>112</v>
      </c>
      <c r="E22" s="381" t="s">
        <v>1222</v>
      </c>
      <c r="F22" s="382" t="s">
        <v>1267</v>
      </c>
      <c r="G22" s="382"/>
      <c r="H22" s="382" t="s">
        <v>1234</v>
      </c>
      <c r="I22" s="382"/>
      <c r="J22" s="382" t="s">
        <v>1222</v>
      </c>
      <c r="K22" s="382" t="s">
        <v>1267</v>
      </c>
      <c r="L22" s="382"/>
      <c r="M22" s="382" t="s">
        <v>1234</v>
      </c>
      <c r="N22" s="382"/>
      <c r="O22" s="382" t="s">
        <v>1222</v>
      </c>
      <c r="P22" s="382" t="s">
        <v>1267</v>
      </c>
      <c r="Q22" s="382" t="s">
        <v>317</v>
      </c>
      <c r="R22" s="383"/>
      <c r="U22" s="398">
        <v>1</v>
      </c>
      <c r="V22" s="408">
        <v>1</v>
      </c>
      <c r="Y22" s="415" t="s">
        <v>1268</v>
      </c>
      <c r="AB22" s="400" t="e">
        <v>#REF!</v>
      </c>
      <c r="AC22" s="400" t="e">
        <v>#REF!</v>
      </c>
      <c r="AD22" s="400" t="e">
        <v>#REF!</v>
      </c>
      <c r="AF22" s="416" t="s">
        <v>1225</v>
      </c>
      <c r="AG22" s="416" t="s">
        <v>1226</v>
      </c>
      <c r="AH22" s="416"/>
      <c r="AI22" s="416"/>
      <c r="AJ22" s="416"/>
      <c r="AK22" s="416"/>
    </row>
    <row r="23" spans="1:37">
      <c r="A23" s="417" t="s">
        <v>1240</v>
      </c>
      <c r="B23" s="418" t="s">
        <v>1234</v>
      </c>
      <c r="D23" s="380" t="s">
        <v>281</v>
      </c>
      <c r="E23" s="381" t="s">
        <v>1222</v>
      </c>
      <c r="F23" s="382" t="s">
        <v>1240</v>
      </c>
      <c r="G23" s="382"/>
      <c r="H23" s="382" t="s">
        <v>1234</v>
      </c>
      <c r="I23" s="382"/>
      <c r="J23" s="382" t="s">
        <v>1222</v>
      </c>
      <c r="K23" s="382" t="s">
        <v>1240</v>
      </c>
      <c r="L23" s="382"/>
      <c r="M23" s="382" t="s">
        <v>1234</v>
      </c>
      <c r="N23" s="382"/>
      <c r="O23" s="382" t="s">
        <v>1222</v>
      </c>
      <c r="P23" s="382" t="s">
        <v>1240</v>
      </c>
      <c r="Q23" s="382" t="s">
        <v>1229</v>
      </c>
      <c r="R23" s="383"/>
      <c r="U23" s="398">
        <v>1</v>
      </c>
      <c r="V23" s="408">
        <v>1</v>
      </c>
      <c r="AB23" s="400" t="e">
        <v>#REF!</v>
      </c>
      <c r="AC23" s="400" t="e">
        <v>#REF!</v>
      </c>
      <c r="AD23" s="400" t="e">
        <v>#REF!</v>
      </c>
      <c r="AF23" s="416" t="s">
        <v>1225</v>
      </c>
      <c r="AG23" s="416" t="s">
        <v>1227</v>
      </c>
      <c r="AH23" s="416"/>
      <c r="AI23" s="416"/>
      <c r="AJ23" s="416"/>
      <c r="AK23" s="416"/>
    </row>
    <row r="24" spans="1:37">
      <c r="A24" s="417" t="s">
        <v>1235</v>
      </c>
      <c r="B24" s="418" t="s">
        <v>1234</v>
      </c>
      <c r="D24" s="380" t="s">
        <v>979</v>
      </c>
      <c r="E24" s="381" t="s">
        <v>1235</v>
      </c>
      <c r="F24" s="382" t="s">
        <v>1235</v>
      </c>
      <c r="G24" s="382"/>
      <c r="H24" s="382" t="s">
        <v>1234</v>
      </c>
      <c r="I24" s="382"/>
      <c r="J24" s="382" t="s">
        <v>139</v>
      </c>
      <c r="K24" s="382" t="s">
        <v>139</v>
      </c>
      <c r="L24" s="382"/>
      <c r="M24" s="382" t="s">
        <v>139</v>
      </c>
      <c r="N24" s="382"/>
      <c r="O24" s="382" t="s">
        <v>1235</v>
      </c>
      <c r="P24" s="382" t="s">
        <v>1235</v>
      </c>
      <c r="Q24" s="382" t="s">
        <v>317</v>
      </c>
      <c r="R24" s="383"/>
      <c r="U24" s="398">
        <v>1</v>
      </c>
      <c r="V24" s="408">
        <v>1</v>
      </c>
      <c r="AB24" s="400" t="e">
        <v>#REF!</v>
      </c>
      <c r="AC24" s="400" t="e">
        <v>#REF!</v>
      </c>
      <c r="AD24" s="400" t="e">
        <v>#REF!</v>
      </c>
      <c r="AF24" s="416" t="s">
        <v>1225</v>
      </c>
      <c r="AG24" s="416"/>
      <c r="AH24" s="416"/>
      <c r="AI24" s="416"/>
      <c r="AJ24" s="416"/>
      <c r="AK24" s="416"/>
    </row>
    <row r="25" spans="1:37">
      <c r="A25" s="417" t="s">
        <v>1240</v>
      </c>
      <c r="B25" s="418" t="s">
        <v>1221</v>
      </c>
      <c r="D25" s="380" t="s">
        <v>980</v>
      </c>
      <c r="E25" s="381" t="s">
        <v>1222</v>
      </c>
      <c r="F25" s="382" t="s">
        <v>1240</v>
      </c>
      <c r="G25" s="382"/>
      <c r="H25" s="382" t="s">
        <v>1234</v>
      </c>
      <c r="I25" s="382"/>
      <c r="J25" s="382" t="s">
        <v>139</v>
      </c>
      <c r="K25" s="382" t="s">
        <v>139</v>
      </c>
      <c r="L25" s="382"/>
      <c r="M25" s="382" t="s">
        <v>139</v>
      </c>
      <c r="N25" s="382"/>
      <c r="O25" s="382" t="s">
        <v>1222</v>
      </c>
      <c r="P25" s="382" t="s">
        <v>1240</v>
      </c>
      <c r="Q25" s="382" t="s">
        <v>317</v>
      </c>
      <c r="R25" s="383"/>
      <c r="U25" s="398">
        <v>1</v>
      </c>
      <c r="V25" s="408" t="s">
        <v>1236</v>
      </c>
      <c r="AB25" s="400" t="e">
        <v>#REF!</v>
      </c>
      <c r="AC25" s="400" t="e">
        <v>#REF!</v>
      </c>
      <c r="AD25" s="400" t="e">
        <v>#REF!</v>
      </c>
      <c r="AF25" s="416" t="s">
        <v>1225</v>
      </c>
      <c r="AG25" s="416" t="s">
        <v>1227</v>
      </c>
      <c r="AH25" s="416"/>
      <c r="AI25" s="416"/>
      <c r="AJ25" s="416"/>
      <c r="AK25" s="416"/>
    </row>
    <row r="26" spans="1:37">
      <c r="A26" s="417" t="s">
        <v>1269</v>
      </c>
      <c r="B26" s="418" t="s">
        <v>505</v>
      </c>
      <c r="D26" s="380" t="s">
        <v>981</v>
      </c>
      <c r="E26" s="381" t="s">
        <v>1222</v>
      </c>
      <c r="F26" s="382" t="s">
        <v>1269</v>
      </c>
      <c r="G26" s="382"/>
      <c r="H26" s="382" t="s">
        <v>505</v>
      </c>
      <c r="I26" s="382"/>
      <c r="J26" s="382" t="s">
        <v>139</v>
      </c>
      <c r="K26" s="382" t="s">
        <v>139</v>
      </c>
      <c r="L26" s="382"/>
      <c r="M26" s="382" t="s">
        <v>139</v>
      </c>
      <c r="N26" s="382"/>
      <c r="O26" s="382" t="s">
        <v>1222</v>
      </c>
      <c r="P26" s="382" t="s">
        <v>1269</v>
      </c>
      <c r="Q26" s="382" t="s">
        <v>317</v>
      </c>
      <c r="R26" s="383"/>
      <c r="U26" s="398">
        <v>1</v>
      </c>
      <c r="V26" s="408">
        <v>1</v>
      </c>
      <c r="AB26" s="400" t="e">
        <v>#REF!</v>
      </c>
      <c r="AC26" s="400" t="e">
        <v>#REF!</v>
      </c>
      <c r="AD26" s="400" t="e">
        <v>#REF!</v>
      </c>
      <c r="AF26" s="416" t="s">
        <v>1225</v>
      </c>
      <c r="AG26" s="416"/>
      <c r="AH26" s="416"/>
      <c r="AI26" s="416"/>
      <c r="AJ26" s="416"/>
      <c r="AK26" s="416"/>
    </row>
    <row r="27" spans="1:37">
      <c r="A27" s="417"/>
      <c r="B27" s="418"/>
      <c r="D27" s="380" t="s">
        <v>982</v>
      </c>
      <c r="E27" s="381" t="s">
        <v>1235</v>
      </c>
      <c r="F27" s="382" t="s">
        <v>1235</v>
      </c>
      <c r="G27" s="382"/>
      <c r="H27" s="382" t="s">
        <v>505</v>
      </c>
      <c r="I27" s="382"/>
      <c r="J27" s="381" t="s">
        <v>1235</v>
      </c>
      <c r="K27" s="382" t="s">
        <v>1235</v>
      </c>
      <c r="L27" s="382"/>
      <c r="M27" s="382" t="s">
        <v>505</v>
      </c>
      <c r="N27" s="382"/>
      <c r="O27" s="382" t="s">
        <v>1235</v>
      </c>
      <c r="P27" s="382" t="s">
        <v>1235</v>
      </c>
      <c r="Q27" s="382" t="s">
        <v>317</v>
      </c>
      <c r="R27" s="383"/>
      <c r="V27" s="408"/>
      <c r="AF27" s="416"/>
      <c r="AG27" s="416"/>
      <c r="AH27" s="416"/>
      <c r="AI27" s="416"/>
      <c r="AJ27" s="416"/>
      <c r="AK27" s="416"/>
    </row>
    <row r="28" spans="1:37">
      <c r="A28" s="417" t="s">
        <v>1241</v>
      </c>
      <c r="B28" s="418" t="s">
        <v>1234</v>
      </c>
      <c r="D28" s="380" t="s">
        <v>984</v>
      </c>
      <c r="E28" s="381" t="s">
        <v>1222</v>
      </c>
      <c r="F28" s="382" t="s">
        <v>1241</v>
      </c>
      <c r="G28" s="382"/>
      <c r="H28" s="382" t="s">
        <v>1234</v>
      </c>
      <c r="I28" s="382"/>
      <c r="J28" s="382" t="s">
        <v>1222</v>
      </c>
      <c r="K28" s="382" t="s">
        <v>1241</v>
      </c>
      <c r="L28" s="382"/>
      <c r="M28" s="382" t="s">
        <v>1234</v>
      </c>
      <c r="N28" s="382"/>
      <c r="O28" s="382" t="s">
        <v>1222</v>
      </c>
      <c r="P28" s="382" t="s">
        <v>1241</v>
      </c>
      <c r="Q28" s="382" t="s">
        <v>317</v>
      </c>
      <c r="R28" s="383"/>
      <c r="U28" s="398">
        <v>1</v>
      </c>
      <c r="V28" s="408">
        <v>1</v>
      </c>
      <c r="AA28" s="399" t="s">
        <v>1231</v>
      </c>
      <c r="AB28" s="400" t="e">
        <v>#REF!</v>
      </c>
      <c r="AC28" s="400" t="e">
        <v>#REF!</v>
      </c>
      <c r="AD28" s="400" t="e">
        <v>#REF!</v>
      </c>
      <c r="AF28" s="416" t="s">
        <v>1225</v>
      </c>
      <c r="AG28" s="416" t="s">
        <v>1226</v>
      </c>
      <c r="AH28" s="416" t="s">
        <v>1227</v>
      </c>
      <c r="AI28" s="416"/>
      <c r="AJ28" s="416"/>
      <c r="AK28" s="416"/>
    </row>
    <row r="29" spans="1:37">
      <c r="A29" s="417" t="s">
        <v>1270</v>
      </c>
      <c r="B29" s="418" t="s">
        <v>1234</v>
      </c>
      <c r="D29" s="380" t="s">
        <v>120</v>
      </c>
      <c r="E29" s="381" t="s">
        <v>1261</v>
      </c>
      <c r="F29" s="382" t="s">
        <v>1270</v>
      </c>
      <c r="G29" s="382"/>
      <c r="H29" s="382" t="s">
        <v>1234</v>
      </c>
      <c r="I29" s="382"/>
      <c r="J29" s="382" t="s">
        <v>1261</v>
      </c>
      <c r="K29" s="382" t="s">
        <v>1270</v>
      </c>
      <c r="L29" s="382"/>
      <c r="M29" s="382" t="s">
        <v>1234</v>
      </c>
      <c r="N29" s="382"/>
      <c r="O29" s="382" t="s">
        <v>1261</v>
      </c>
      <c r="P29" s="382" t="s">
        <v>1270</v>
      </c>
      <c r="Q29" s="382" t="s">
        <v>1229</v>
      </c>
      <c r="R29" s="383"/>
      <c r="U29" s="398">
        <v>1</v>
      </c>
      <c r="V29" s="408">
        <v>1</v>
      </c>
      <c r="AB29" s="400" t="e">
        <v>#REF!</v>
      </c>
      <c r="AC29" s="400" t="e">
        <v>#REF!</v>
      </c>
      <c r="AD29" s="400" t="e">
        <v>#REF!</v>
      </c>
      <c r="AF29" s="416" t="s">
        <v>1225</v>
      </c>
      <c r="AG29" s="416" t="s">
        <v>1230</v>
      </c>
      <c r="AH29" s="416" t="s">
        <v>1239</v>
      </c>
      <c r="AI29" s="416"/>
      <c r="AJ29" s="416"/>
      <c r="AK29" s="416"/>
    </row>
    <row r="30" spans="1:37">
      <c r="A30" s="417" t="s">
        <v>1235</v>
      </c>
      <c r="B30" s="418" t="s">
        <v>1221</v>
      </c>
      <c r="D30" s="380" t="s">
        <v>985</v>
      </c>
      <c r="E30" s="381" t="s">
        <v>1235</v>
      </c>
      <c r="F30" s="382" t="s">
        <v>1235</v>
      </c>
      <c r="G30" s="382"/>
      <c r="H30" s="382" t="s">
        <v>1221</v>
      </c>
      <c r="I30" s="382"/>
      <c r="J30" s="382" t="s">
        <v>139</v>
      </c>
      <c r="K30" s="382" t="s">
        <v>139</v>
      </c>
      <c r="L30" s="382"/>
      <c r="M30" s="382" t="s">
        <v>139</v>
      </c>
      <c r="N30" s="382"/>
      <c r="O30" s="382" t="s">
        <v>1235</v>
      </c>
      <c r="P30" s="382" t="s">
        <v>1235</v>
      </c>
      <c r="Q30" s="382" t="s">
        <v>1229</v>
      </c>
      <c r="R30" s="383"/>
      <c r="U30" s="398">
        <v>1</v>
      </c>
      <c r="V30" s="408">
        <v>1</v>
      </c>
      <c r="AA30" s="399" t="s">
        <v>1231</v>
      </c>
      <c r="AB30" s="400" t="e">
        <v>#REF!</v>
      </c>
      <c r="AC30" s="400" t="e">
        <v>#REF!</v>
      </c>
      <c r="AD30" s="400" t="e">
        <v>#REF!</v>
      </c>
      <c r="AF30" s="416" t="s">
        <v>1225</v>
      </c>
      <c r="AG30" s="416"/>
      <c r="AH30" s="416"/>
      <c r="AI30" s="416"/>
      <c r="AJ30" s="416"/>
      <c r="AK30" s="416"/>
    </row>
    <row r="31" spans="1:37">
      <c r="A31" s="417" t="s">
        <v>1235</v>
      </c>
      <c r="B31" s="418" t="s">
        <v>1234</v>
      </c>
      <c r="D31" s="380" t="s">
        <v>986</v>
      </c>
      <c r="E31" s="381" t="s">
        <v>1235</v>
      </c>
      <c r="F31" s="382" t="s">
        <v>1235</v>
      </c>
      <c r="G31" s="382"/>
      <c r="H31" s="382" t="s">
        <v>1234</v>
      </c>
      <c r="I31" s="382"/>
      <c r="J31" s="382" t="s">
        <v>139</v>
      </c>
      <c r="K31" s="382" t="s">
        <v>139</v>
      </c>
      <c r="L31" s="382"/>
      <c r="M31" s="382" t="s">
        <v>139</v>
      </c>
      <c r="N31" s="382"/>
      <c r="O31" s="382" t="s">
        <v>1235</v>
      </c>
      <c r="P31" s="382" t="s">
        <v>1235</v>
      </c>
      <c r="Q31" s="382" t="s">
        <v>317</v>
      </c>
      <c r="R31" s="383"/>
      <c r="U31" s="398">
        <v>1</v>
      </c>
      <c r="V31" s="408">
        <v>1</v>
      </c>
      <c r="AB31" s="400" t="e">
        <v>#REF!</v>
      </c>
      <c r="AC31" s="400" t="e">
        <v>#REF!</v>
      </c>
      <c r="AD31" s="400" t="e">
        <v>#REF!</v>
      </c>
      <c r="AF31" s="416" t="s">
        <v>1225</v>
      </c>
      <c r="AG31" s="416"/>
      <c r="AH31" s="416"/>
      <c r="AI31" s="416"/>
      <c r="AJ31" s="416"/>
      <c r="AK31" s="416"/>
    </row>
    <row r="32" spans="1:37" ht="15.75" customHeight="1">
      <c r="A32" s="417" t="s">
        <v>1241</v>
      </c>
      <c r="B32" s="418" t="s">
        <v>1234</v>
      </c>
      <c r="D32" s="380" t="s">
        <v>987</v>
      </c>
      <c r="E32" s="381" t="s">
        <v>1222</v>
      </c>
      <c r="F32" s="382" t="s">
        <v>1241</v>
      </c>
      <c r="G32" s="382"/>
      <c r="H32" s="382" t="s">
        <v>1234</v>
      </c>
      <c r="I32" s="382"/>
      <c r="J32" s="382" t="s">
        <v>139</v>
      </c>
      <c r="K32" s="382" t="s">
        <v>139</v>
      </c>
      <c r="L32" s="382"/>
      <c r="M32" s="382" t="s">
        <v>139</v>
      </c>
      <c r="N32" s="382"/>
      <c r="O32" s="382" t="s">
        <v>1222</v>
      </c>
      <c r="P32" s="382" t="s">
        <v>1241</v>
      </c>
      <c r="Q32" s="382" t="s">
        <v>317</v>
      </c>
      <c r="R32" s="383"/>
      <c r="U32" s="398">
        <v>1</v>
      </c>
      <c r="V32" s="408">
        <v>1</v>
      </c>
      <c r="AA32" s="399" t="s">
        <v>1231</v>
      </c>
      <c r="AB32" s="400" t="e">
        <v>#REF!</v>
      </c>
      <c r="AC32" s="400" t="e">
        <v>#REF!</v>
      </c>
      <c r="AD32" s="400" t="e">
        <v>#REF!</v>
      </c>
      <c r="AF32" s="416" t="s">
        <v>1225</v>
      </c>
      <c r="AG32" s="416" t="s">
        <v>1226</v>
      </c>
      <c r="AH32" s="416" t="s">
        <v>1227</v>
      </c>
      <c r="AI32" s="416"/>
      <c r="AJ32" s="416"/>
      <c r="AK32" s="416"/>
    </row>
    <row r="33" spans="1:37">
      <c r="A33" s="417" t="s">
        <v>1228</v>
      </c>
      <c r="B33" s="418" t="s">
        <v>1234</v>
      </c>
      <c r="D33" s="380" t="s">
        <v>988</v>
      </c>
      <c r="E33" s="381" t="s">
        <v>1222</v>
      </c>
      <c r="F33" s="382" t="s">
        <v>1228</v>
      </c>
      <c r="G33" s="382"/>
      <c r="H33" s="382" t="s">
        <v>1234</v>
      </c>
      <c r="I33" s="382"/>
      <c r="J33" s="382" t="s">
        <v>1222</v>
      </c>
      <c r="K33" s="382" t="s">
        <v>1228</v>
      </c>
      <c r="L33" s="382"/>
      <c r="M33" s="382" t="s">
        <v>1234</v>
      </c>
      <c r="N33" s="382"/>
      <c r="O33" s="382" t="s">
        <v>1258</v>
      </c>
      <c r="P33" s="382" t="s">
        <v>1256</v>
      </c>
      <c r="Q33" s="382" t="s">
        <v>1229</v>
      </c>
      <c r="R33" s="383"/>
      <c r="U33" s="398">
        <v>1</v>
      </c>
      <c r="V33" s="408">
        <v>1</v>
      </c>
      <c r="AB33" s="400" t="e">
        <v>#REF!</v>
      </c>
      <c r="AC33" s="400" t="e">
        <v>#REF!</v>
      </c>
      <c r="AD33" s="400" t="e">
        <v>#REF!</v>
      </c>
      <c r="AF33" s="416" t="s">
        <v>1225</v>
      </c>
      <c r="AG33" s="416" t="s">
        <v>1226</v>
      </c>
      <c r="AH33" s="416" t="s">
        <v>1227</v>
      </c>
      <c r="AI33" s="416" t="s">
        <v>1230</v>
      </c>
      <c r="AJ33" s="416"/>
      <c r="AK33" s="416"/>
    </row>
    <row r="34" spans="1:37">
      <c r="A34" s="417" t="s">
        <v>1232</v>
      </c>
      <c r="B34" s="418" t="s">
        <v>1234</v>
      </c>
      <c r="D34" s="380" t="s">
        <v>989</v>
      </c>
      <c r="E34" s="381" t="s">
        <v>1222</v>
      </c>
      <c r="F34" s="382" t="s">
        <v>1232</v>
      </c>
      <c r="G34" s="382"/>
      <c r="H34" s="382" t="s">
        <v>1234</v>
      </c>
      <c r="I34" s="382"/>
      <c r="J34" s="382" t="s">
        <v>1222</v>
      </c>
      <c r="K34" s="382" t="s">
        <v>1232</v>
      </c>
      <c r="L34" s="382"/>
      <c r="M34" s="382" t="s">
        <v>1234</v>
      </c>
      <c r="N34" s="382"/>
      <c r="O34" s="382" t="s">
        <v>1222</v>
      </c>
      <c r="P34" s="382" t="s">
        <v>1232</v>
      </c>
      <c r="Q34" s="382" t="s">
        <v>317</v>
      </c>
      <c r="R34" s="383"/>
      <c r="U34" s="398">
        <v>1</v>
      </c>
      <c r="V34" s="408">
        <v>1</v>
      </c>
      <c r="AA34" s="399" t="s">
        <v>1231</v>
      </c>
      <c r="AB34" s="400" t="e">
        <v>#REF!</v>
      </c>
      <c r="AC34" s="400" t="e">
        <v>#REF!</v>
      </c>
      <c r="AD34" s="400" t="e">
        <v>#REF!</v>
      </c>
      <c r="AF34" s="416" t="s">
        <v>1225</v>
      </c>
      <c r="AG34" s="416" t="s">
        <v>1227</v>
      </c>
      <c r="AH34" s="416" t="s">
        <v>1230</v>
      </c>
      <c r="AI34" s="416"/>
      <c r="AJ34" s="416"/>
      <c r="AK34" s="416"/>
    </row>
    <row r="35" spans="1:37">
      <c r="A35" s="417" t="s">
        <v>1232</v>
      </c>
      <c r="B35" s="418" t="s">
        <v>1221</v>
      </c>
      <c r="D35" s="380" t="s">
        <v>426</v>
      </c>
      <c r="E35" s="381" t="s">
        <v>1222</v>
      </c>
      <c r="F35" s="382" t="s">
        <v>1232</v>
      </c>
      <c r="G35" s="382"/>
      <c r="H35" s="382" t="s">
        <v>1221</v>
      </c>
      <c r="I35" s="382"/>
      <c r="J35" s="382" t="s">
        <v>1222</v>
      </c>
      <c r="K35" s="382" t="s">
        <v>1232</v>
      </c>
      <c r="L35" s="382"/>
      <c r="M35" s="382" t="s">
        <v>1221</v>
      </c>
      <c r="N35" s="382"/>
      <c r="O35" s="382" t="s">
        <v>1222</v>
      </c>
      <c r="P35" s="382" t="s">
        <v>1232</v>
      </c>
      <c r="Q35" s="382" t="s">
        <v>1229</v>
      </c>
      <c r="R35" s="383"/>
      <c r="U35" s="398">
        <v>1</v>
      </c>
      <c r="V35" s="408">
        <v>1</v>
      </c>
      <c r="AB35" s="400" t="e">
        <v>#REF!</v>
      </c>
      <c r="AC35" s="400" t="e">
        <v>#REF!</v>
      </c>
      <c r="AD35" s="400" t="e">
        <v>#REF!</v>
      </c>
      <c r="AF35" s="416" t="s">
        <v>1225</v>
      </c>
      <c r="AG35" s="416" t="s">
        <v>1227</v>
      </c>
      <c r="AH35" s="416" t="s">
        <v>1230</v>
      </c>
      <c r="AI35" s="416"/>
      <c r="AJ35" s="416"/>
      <c r="AK35" s="416"/>
    </row>
    <row r="36" spans="1:37">
      <c r="A36" s="417" t="s">
        <v>1235</v>
      </c>
      <c r="B36" s="418" t="s">
        <v>1234</v>
      </c>
      <c r="D36" s="380" t="s">
        <v>990</v>
      </c>
      <c r="E36" s="381" t="s">
        <v>1235</v>
      </c>
      <c r="F36" s="382" t="s">
        <v>1235</v>
      </c>
      <c r="G36" s="382"/>
      <c r="H36" s="382" t="s">
        <v>1234</v>
      </c>
      <c r="I36" s="382"/>
      <c r="J36" s="382" t="s">
        <v>139</v>
      </c>
      <c r="K36" s="382" t="s">
        <v>139</v>
      </c>
      <c r="L36" s="382"/>
      <c r="M36" s="382" t="s">
        <v>139</v>
      </c>
      <c r="N36" s="382"/>
      <c r="O36" s="382" t="s">
        <v>1235</v>
      </c>
      <c r="P36" s="382" t="s">
        <v>1235</v>
      </c>
      <c r="Q36" s="382" t="s">
        <v>317</v>
      </c>
      <c r="R36" s="383"/>
      <c r="U36" s="398">
        <v>1</v>
      </c>
      <c r="V36" s="408">
        <v>1</v>
      </c>
      <c r="AB36" s="400" t="e">
        <v>#REF!</v>
      </c>
      <c r="AC36" s="400" t="e">
        <v>#REF!</v>
      </c>
      <c r="AD36" s="400" t="e">
        <v>#REF!</v>
      </c>
      <c r="AF36" s="416" t="s">
        <v>1225</v>
      </c>
      <c r="AG36" s="416" t="s">
        <v>318</v>
      </c>
      <c r="AH36" s="416"/>
      <c r="AI36" s="416"/>
      <c r="AJ36" s="416"/>
      <c r="AK36" s="416"/>
    </row>
    <row r="37" spans="1:37">
      <c r="A37" s="417" t="s">
        <v>1232</v>
      </c>
      <c r="B37" s="418" t="s">
        <v>1234</v>
      </c>
      <c r="D37" s="380" t="s">
        <v>445</v>
      </c>
      <c r="E37" s="381" t="s">
        <v>1222</v>
      </c>
      <c r="F37" s="382" t="s">
        <v>1232</v>
      </c>
      <c r="G37" s="382"/>
      <c r="H37" s="382" t="s">
        <v>1234</v>
      </c>
      <c r="I37" s="382"/>
      <c r="J37" s="382" t="s">
        <v>1222</v>
      </c>
      <c r="K37" s="382" t="s">
        <v>1232</v>
      </c>
      <c r="L37" s="382"/>
      <c r="M37" s="382" t="s">
        <v>1234</v>
      </c>
      <c r="N37" s="382"/>
      <c r="O37" s="382" t="s">
        <v>1222</v>
      </c>
      <c r="P37" s="382" t="s">
        <v>1232</v>
      </c>
      <c r="Q37" s="382" t="s">
        <v>1229</v>
      </c>
      <c r="R37" s="383"/>
      <c r="U37" s="398">
        <v>1</v>
      </c>
      <c r="V37" s="408">
        <v>1</v>
      </c>
      <c r="AA37" s="399" t="s">
        <v>1231</v>
      </c>
      <c r="AB37" s="400" t="e">
        <v>#REF!</v>
      </c>
      <c r="AC37" s="400" t="e">
        <v>#REF!</v>
      </c>
      <c r="AD37" s="400" t="e">
        <v>#REF!</v>
      </c>
      <c r="AF37" s="416" t="s">
        <v>1225</v>
      </c>
      <c r="AG37" s="416" t="s">
        <v>1227</v>
      </c>
      <c r="AH37" s="416" t="s">
        <v>1230</v>
      </c>
      <c r="AI37" s="416" t="s">
        <v>318</v>
      </c>
      <c r="AJ37" s="416"/>
      <c r="AK37" s="416"/>
    </row>
    <row r="38" spans="1:37">
      <c r="A38" s="417" t="s">
        <v>1253</v>
      </c>
      <c r="B38" s="418" t="s">
        <v>505</v>
      </c>
      <c r="D38" s="380" t="s">
        <v>116</v>
      </c>
      <c r="E38" s="381" t="s">
        <v>1222</v>
      </c>
      <c r="F38" s="382" t="s">
        <v>1253</v>
      </c>
      <c r="G38" s="382"/>
      <c r="H38" s="382" t="s">
        <v>505</v>
      </c>
      <c r="I38" s="382"/>
      <c r="J38" s="382" t="s">
        <v>1222</v>
      </c>
      <c r="K38" s="382" t="s">
        <v>1253</v>
      </c>
      <c r="L38" s="382"/>
      <c r="M38" s="382" t="s">
        <v>505</v>
      </c>
      <c r="N38" s="382"/>
      <c r="O38" s="382" t="s">
        <v>1222</v>
      </c>
      <c r="P38" s="382" t="s">
        <v>1253</v>
      </c>
      <c r="Q38" s="382" t="s">
        <v>1223</v>
      </c>
      <c r="R38" s="383"/>
      <c r="U38" s="398">
        <v>1</v>
      </c>
      <c r="V38" s="408">
        <v>1</v>
      </c>
      <c r="AA38" s="399" t="s">
        <v>1231</v>
      </c>
      <c r="AB38" s="400" t="e">
        <v>#REF!</v>
      </c>
      <c r="AC38" s="400" t="e">
        <v>#REF!</v>
      </c>
      <c r="AD38" s="400" t="e">
        <v>#REF!</v>
      </c>
      <c r="AF38" s="416" t="s">
        <v>1225</v>
      </c>
      <c r="AG38" s="416" t="s">
        <v>1226</v>
      </c>
      <c r="AH38" s="416" t="s">
        <v>1230</v>
      </c>
      <c r="AI38" s="416"/>
      <c r="AJ38" s="416"/>
      <c r="AK38" s="416"/>
    </row>
    <row r="39" spans="1:37">
      <c r="A39" s="417" t="s">
        <v>1235</v>
      </c>
      <c r="B39" s="418" t="s">
        <v>1234</v>
      </c>
      <c r="D39" s="380" t="s">
        <v>123</v>
      </c>
      <c r="E39" s="381" t="s">
        <v>1235</v>
      </c>
      <c r="F39" s="382" t="s">
        <v>1235</v>
      </c>
      <c r="G39" s="382"/>
      <c r="H39" s="382" t="s">
        <v>1234</v>
      </c>
      <c r="I39" s="382"/>
      <c r="J39" s="382" t="s">
        <v>139</v>
      </c>
      <c r="K39" s="382" t="s">
        <v>139</v>
      </c>
      <c r="L39" s="382"/>
      <c r="M39" s="382" t="s">
        <v>139</v>
      </c>
      <c r="N39" s="382"/>
      <c r="O39" s="382" t="s">
        <v>1235</v>
      </c>
      <c r="P39" s="382" t="s">
        <v>1235</v>
      </c>
      <c r="Q39" s="382" t="s">
        <v>317</v>
      </c>
      <c r="R39" s="383"/>
      <c r="U39" s="398">
        <v>1</v>
      </c>
      <c r="V39" s="408">
        <v>1</v>
      </c>
      <c r="AB39" s="400" t="e">
        <v>#REF!</v>
      </c>
      <c r="AC39" s="400" t="e">
        <v>#REF!</v>
      </c>
      <c r="AD39" s="400" t="e">
        <v>#REF!</v>
      </c>
      <c r="AF39" s="416" t="s">
        <v>1225</v>
      </c>
      <c r="AG39" s="416"/>
      <c r="AH39" s="416"/>
      <c r="AI39" s="416"/>
      <c r="AJ39" s="416"/>
      <c r="AK39" s="416"/>
    </row>
    <row r="40" spans="1:37">
      <c r="A40" s="417" t="s">
        <v>1253</v>
      </c>
      <c r="B40" s="418" t="s">
        <v>1234</v>
      </c>
      <c r="D40" s="380" t="s">
        <v>1271</v>
      </c>
      <c r="E40" s="381" t="s">
        <v>1222</v>
      </c>
      <c r="F40" s="382" t="s">
        <v>1253</v>
      </c>
      <c r="G40" s="382"/>
      <c r="H40" s="382" t="s">
        <v>1234</v>
      </c>
      <c r="I40" s="382"/>
      <c r="J40" s="382" t="s">
        <v>1222</v>
      </c>
      <c r="K40" s="382" t="s">
        <v>1253</v>
      </c>
      <c r="L40" s="382"/>
      <c r="M40" s="382" t="s">
        <v>1234</v>
      </c>
      <c r="N40" s="382"/>
      <c r="O40" s="382" t="s">
        <v>1222</v>
      </c>
      <c r="P40" s="382" t="s">
        <v>1253</v>
      </c>
      <c r="Q40" s="382" t="s">
        <v>317</v>
      </c>
      <c r="R40" s="383"/>
      <c r="U40" s="398">
        <v>1</v>
      </c>
      <c r="V40" s="408">
        <v>1</v>
      </c>
      <c r="AA40" s="399" t="s">
        <v>1231</v>
      </c>
      <c r="AB40" s="400" t="e">
        <v>#REF!</v>
      </c>
      <c r="AC40" s="400" t="e">
        <v>#REF!</v>
      </c>
      <c r="AD40" s="400" t="e">
        <v>#REF!</v>
      </c>
      <c r="AF40" s="416" t="s">
        <v>1225</v>
      </c>
      <c r="AG40" s="416" t="s">
        <v>1226</v>
      </c>
      <c r="AH40" s="416" t="s">
        <v>1230</v>
      </c>
      <c r="AI40" s="416"/>
      <c r="AJ40" s="416"/>
      <c r="AK40" s="416"/>
    </row>
    <row r="41" spans="1:37">
      <c r="A41" s="417" t="s">
        <v>1235</v>
      </c>
      <c r="B41" s="418" t="s">
        <v>1234</v>
      </c>
      <c r="D41" s="380" t="s">
        <v>991</v>
      </c>
      <c r="E41" s="381" t="s">
        <v>1235</v>
      </c>
      <c r="F41" s="382" t="s">
        <v>1235</v>
      </c>
      <c r="G41" s="382"/>
      <c r="H41" s="382" t="s">
        <v>1234</v>
      </c>
      <c r="I41" s="382"/>
      <c r="J41" s="382" t="s">
        <v>139</v>
      </c>
      <c r="K41" s="382" t="s">
        <v>139</v>
      </c>
      <c r="L41" s="382"/>
      <c r="M41" s="382" t="s">
        <v>139</v>
      </c>
      <c r="N41" s="382"/>
      <c r="O41" s="382" t="s">
        <v>1235</v>
      </c>
      <c r="P41" s="382" t="s">
        <v>1235</v>
      </c>
      <c r="Q41" s="382" t="s">
        <v>317</v>
      </c>
      <c r="R41" s="383"/>
      <c r="U41" s="398">
        <v>1</v>
      </c>
      <c r="V41" s="408">
        <v>1</v>
      </c>
      <c r="Y41" s="415" t="s">
        <v>1272</v>
      </c>
      <c r="AB41" s="400" t="e">
        <v>#REF!</v>
      </c>
      <c r="AC41" s="400" t="e">
        <v>#REF!</v>
      </c>
      <c r="AD41" s="400" t="e">
        <v>#REF!</v>
      </c>
      <c r="AF41" s="416" t="s">
        <v>1225</v>
      </c>
      <c r="AG41" s="416" t="s">
        <v>1226</v>
      </c>
      <c r="AH41" s="416" t="s">
        <v>1227</v>
      </c>
      <c r="AI41" s="416" t="s">
        <v>1230</v>
      </c>
      <c r="AJ41" s="416"/>
      <c r="AK41" s="416"/>
    </row>
    <row r="42" spans="1:37">
      <c r="A42" s="422" t="s">
        <v>1273</v>
      </c>
      <c r="B42" s="418" t="s">
        <v>1221</v>
      </c>
      <c r="D42" s="380" t="s">
        <v>1274</v>
      </c>
      <c r="E42" s="381" t="s">
        <v>1261</v>
      </c>
      <c r="F42" s="382" t="s">
        <v>1273</v>
      </c>
      <c r="G42" s="382"/>
      <c r="H42" s="382" t="s">
        <v>1221</v>
      </c>
      <c r="I42" s="382"/>
      <c r="J42" s="381" t="s">
        <v>1261</v>
      </c>
      <c r="K42" s="382" t="s">
        <v>1273</v>
      </c>
      <c r="L42" s="382"/>
      <c r="M42" s="382" t="s">
        <v>1221</v>
      </c>
      <c r="N42" s="382"/>
      <c r="O42" s="381" t="s">
        <v>1261</v>
      </c>
      <c r="P42" s="382" t="s">
        <v>1273</v>
      </c>
      <c r="Q42" s="382" t="s">
        <v>317</v>
      </c>
      <c r="R42" s="383"/>
      <c r="U42" s="398">
        <v>1</v>
      </c>
      <c r="V42" s="408">
        <v>1</v>
      </c>
      <c r="Y42" s="415" t="s">
        <v>1275</v>
      </c>
      <c r="AB42" s="400" t="e">
        <v>#REF!</v>
      </c>
      <c r="AC42" s="400" t="e">
        <v>#REF!</v>
      </c>
      <c r="AD42" s="400" t="e">
        <v>#REF!</v>
      </c>
      <c r="AF42" s="416" t="s">
        <v>1225</v>
      </c>
      <c r="AG42" s="416" t="s">
        <v>1227</v>
      </c>
      <c r="AH42" s="416"/>
      <c r="AI42" s="416"/>
      <c r="AJ42" s="416"/>
      <c r="AK42" s="416"/>
    </row>
    <row r="43" spans="1:37">
      <c r="A43" s="417" t="s">
        <v>1232</v>
      </c>
      <c r="B43" s="418" t="s">
        <v>1221</v>
      </c>
      <c r="D43" s="380" t="s">
        <v>993</v>
      </c>
      <c r="E43" s="381" t="s">
        <v>1222</v>
      </c>
      <c r="F43" s="382" t="s">
        <v>1232</v>
      </c>
      <c r="G43" s="382"/>
      <c r="H43" s="382" t="s">
        <v>1221</v>
      </c>
      <c r="I43" s="382"/>
      <c r="J43" s="382" t="s">
        <v>1222</v>
      </c>
      <c r="K43" s="382" t="s">
        <v>1232</v>
      </c>
      <c r="L43" s="382"/>
      <c r="M43" s="382" t="s">
        <v>1221</v>
      </c>
      <c r="N43" s="382"/>
      <c r="O43" s="382" t="s">
        <v>1222</v>
      </c>
      <c r="P43" s="382" t="s">
        <v>1232</v>
      </c>
      <c r="Q43" s="382" t="s">
        <v>317</v>
      </c>
      <c r="R43" s="383"/>
      <c r="U43" s="398">
        <v>1</v>
      </c>
      <c r="V43" s="408">
        <v>1</v>
      </c>
      <c r="AB43" s="400" t="e">
        <v>#REF!</v>
      </c>
      <c r="AC43" s="400" t="e">
        <v>#REF!</v>
      </c>
      <c r="AD43" s="400" t="e">
        <v>#REF!</v>
      </c>
      <c r="AF43" s="416" t="s">
        <v>1225</v>
      </c>
      <c r="AG43" s="416" t="s">
        <v>1227</v>
      </c>
      <c r="AH43" s="416" t="s">
        <v>1230</v>
      </c>
      <c r="AI43" s="416"/>
      <c r="AJ43" s="416"/>
      <c r="AK43" s="416"/>
    </row>
    <row r="44" spans="1:37">
      <c r="A44" s="417" t="s">
        <v>1228</v>
      </c>
      <c r="B44" s="418" t="s">
        <v>1234</v>
      </c>
      <c r="D44" s="380" t="s">
        <v>994</v>
      </c>
      <c r="E44" s="381" t="s">
        <v>1222</v>
      </c>
      <c r="F44" s="382" t="s">
        <v>1232</v>
      </c>
      <c r="G44" s="382"/>
      <c r="H44" s="382" t="s">
        <v>1234</v>
      </c>
      <c r="I44" s="382"/>
      <c r="J44" s="382" t="s">
        <v>1222</v>
      </c>
      <c r="K44" s="382" t="s">
        <v>1232</v>
      </c>
      <c r="L44" s="382"/>
      <c r="M44" s="382" t="s">
        <v>1234</v>
      </c>
      <c r="N44" s="382"/>
      <c r="O44" s="382" t="s">
        <v>1222</v>
      </c>
      <c r="P44" s="382" t="s">
        <v>1232</v>
      </c>
      <c r="Q44" s="382" t="s">
        <v>317</v>
      </c>
      <c r="R44" s="383"/>
      <c r="U44" s="398" t="s">
        <v>1236</v>
      </c>
      <c r="V44" s="408">
        <v>1</v>
      </c>
      <c r="AB44" s="400" t="e">
        <v>#REF!</v>
      </c>
      <c r="AC44" s="400" t="e">
        <v>#REF!</v>
      </c>
      <c r="AD44" s="400" t="e">
        <v>#REF!</v>
      </c>
      <c r="AF44" s="416" t="s">
        <v>1225</v>
      </c>
      <c r="AG44" s="416" t="s">
        <v>1226</v>
      </c>
      <c r="AH44" s="416" t="s">
        <v>1227</v>
      </c>
      <c r="AI44" s="416" t="s">
        <v>1230</v>
      </c>
      <c r="AJ44" s="416"/>
      <c r="AK44" s="416"/>
    </row>
    <row r="45" spans="1:37">
      <c r="A45" s="417" t="s">
        <v>1276</v>
      </c>
      <c r="B45" s="418" t="s">
        <v>1234</v>
      </c>
      <c r="D45" s="380" t="s">
        <v>995</v>
      </c>
      <c r="E45" s="381" t="s">
        <v>1222</v>
      </c>
      <c r="F45" s="382" t="s">
        <v>1276</v>
      </c>
      <c r="G45" s="382"/>
      <c r="H45" s="382" t="s">
        <v>505</v>
      </c>
      <c r="I45" s="382"/>
      <c r="J45" s="382" t="s">
        <v>139</v>
      </c>
      <c r="K45" s="382" t="s">
        <v>139</v>
      </c>
      <c r="L45" s="382"/>
      <c r="M45" s="382" t="s">
        <v>139</v>
      </c>
      <c r="N45" s="382"/>
      <c r="O45" s="382" t="s">
        <v>1222</v>
      </c>
      <c r="P45" s="382" t="s">
        <v>1276</v>
      </c>
      <c r="Q45" s="382" t="s">
        <v>317</v>
      </c>
      <c r="R45" s="383"/>
      <c r="U45" s="398">
        <v>1</v>
      </c>
      <c r="V45" s="408" t="s">
        <v>1236</v>
      </c>
      <c r="AB45" s="400" t="e">
        <v>#REF!</v>
      </c>
      <c r="AC45" s="400" t="e">
        <v>#REF!</v>
      </c>
      <c r="AD45" s="400" t="e">
        <v>#REF!</v>
      </c>
      <c r="AF45" s="416" t="s">
        <v>1225</v>
      </c>
      <c r="AG45" s="416" t="s">
        <v>1226</v>
      </c>
      <c r="AH45" s="416" t="s">
        <v>1230</v>
      </c>
      <c r="AI45" s="416" t="s">
        <v>318</v>
      </c>
      <c r="AJ45" s="416"/>
      <c r="AK45" s="416"/>
    </row>
    <row r="46" spans="1:37">
      <c r="A46" s="417" t="s">
        <v>1277</v>
      </c>
      <c r="B46" s="418" t="s">
        <v>1234</v>
      </c>
      <c r="D46" s="380" t="s">
        <v>997</v>
      </c>
      <c r="E46" s="381" t="s">
        <v>1258</v>
      </c>
      <c r="F46" s="382" t="s">
        <v>1277</v>
      </c>
      <c r="G46" s="382"/>
      <c r="H46" s="382" t="s">
        <v>1221</v>
      </c>
      <c r="I46" s="382"/>
      <c r="J46" s="382" t="s">
        <v>139</v>
      </c>
      <c r="K46" s="382" t="s">
        <v>139</v>
      </c>
      <c r="L46" s="382"/>
      <c r="M46" s="382" t="s">
        <v>139</v>
      </c>
      <c r="N46" s="382"/>
      <c r="O46" s="381" t="s">
        <v>1258</v>
      </c>
      <c r="P46" s="382" t="s">
        <v>1277</v>
      </c>
      <c r="Q46" s="382" t="s">
        <v>1229</v>
      </c>
      <c r="R46" s="383"/>
      <c r="U46" s="398">
        <v>1</v>
      </c>
      <c r="V46" s="408" t="s">
        <v>1236</v>
      </c>
      <c r="AB46" s="400" t="e">
        <v>#REF!</v>
      </c>
      <c r="AC46" s="400" t="e">
        <v>#REF!</v>
      </c>
      <c r="AD46" s="400" t="e">
        <v>#REF!</v>
      </c>
      <c r="AF46" s="416" t="s">
        <v>1225</v>
      </c>
      <c r="AG46" s="416" t="s">
        <v>1227</v>
      </c>
      <c r="AH46" s="416" t="s">
        <v>1230</v>
      </c>
      <c r="AI46" s="416" t="s">
        <v>1278</v>
      </c>
      <c r="AJ46" s="416" t="s">
        <v>1239</v>
      </c>
      <c r="AK46" s="416"/>
    </row>
    <row r="47" spans="1:37">
      <c r="A47" s="417" t="s">
        <v>1279</v>
      </c>
      <c r="B47" s="418" t="s">
        <v>1234</v>
      </c>
      <c r="D47" s="380" t="s">
        <v>1280</v>
      </c>
      <c r="E47" s="381" t="s">
        <v>1222</v>
      </c>
      <c r="F47" s="382" t="s">
        <v>1279</v>
      </c>
      <c r="G47" s="382"/>
      <c r="H47" s="382" t="s">
        <v>1234</v>
      </c>
      <c r="I47" s="382"/>
      <c r="J47" s="382" t="s">
        <v>1222</v>
      </c>
      <c r="K47" s="382" t="s">
        <v>1279</v>
      </c>
      <c r="L47" s="382"/>
      <c r="M47" s="382" t="s">
        <v>1234</v>
      </c>
      <c r="N47" s="382"/>
      <c r="O47" s="382" t="s">
        <v>1222</v>
      </c>
      <c r="P47" s="382" t="s">
        <v>1279</v>
      </c>
      <c r="Q47" s="382" t="s">
        <v>317</v>
      </c>
      <c r="R47" s="383"/>
      <c r="U47" s="398">
        <v>1</v>
      </c>
      <c r="V47" s="408">
        <v>1</v>
      </c>
      <c r="Y47" s="415" t="s">
        <v>1275</v>
      </c>
      <c r="AB47" s="400" t="e">
        <v>#REF!</v>
      </c>
      <c r="AC47" s="400" t="e">
        <v>#REF!</v>
      </c>
      <c r="AD47" s="400" t="e">
        <v>#REF!</v>
      </c>
      <c r="AF47" s="416">
        <v>0</v>
      </c>
      <c r="AG47" s="416"/>
      <c r="AH47" s="416"/>
      <c r="AI47" s="416"/>
      <c r="AJ47" s="416"/>
      <c r="AK47" s="416"/>
    </row>
    <row r="48" spans="1:37" ht="27" customHeight="1">
      <c r="D48" s="627" t="s">
        <v>1281</v>
      </c>
      <c r="E48" s="627"/>
      <c r="F48" s="627"/>
      <c r="G48" s="627"/>
      <c r="H48" s="627"/>
      <c r="I48" s="627"/>
      <c r="J48" s="627"/>
      <c r="K48" s="627"/>
      <c r="L48" s="627"/>
      <c r="M48" s="627"/>
      <c r="N48" s="627"/>
      <c r="O48" s="627"/>
      <c r="P48" s="627"/>
      <c r="Q48" s="627"/>
      <c r="R48" s="627"/>
      <c r="S48" s="428"/>
      <c r="T48" s="428"/>
      <c r="U48" s="428"/>
      <c r="V48" s="428"/>
      <c r="W48" s="428"/>
      <c r="X48" s="428"/>
      <c r="Y48" s="428"/>
      <c r="Z48" s="428"/>
      <c r="AA48" s="428"/>
    </row>
    <row r="49" spans="4:18" ht="25.5" customHeight="1">
      <c r="D49" s="628" t="s">
        <v>1243</v>
      </c>
      <c r="E49" s="628"/>
      <c r="F49" s="628"/>
      <c r="G49" s="628"/>
      <c r="H49" s="628"/>
      <c r="I49" s="628"/>
      <c r="J49" s="628"/>
      <c r="K49" s="628"/>
      <c r="L49" s="628"/>
      <c r="M49" s="628"/>
      <c r="N49" s="628"/>
      <c r="O49" s="628"/>
      <c r="P49" s="628"/>
      <c r="Q49" s="628"/>
      <c r="R49" s="628"/>
    </row>
    <row r="50" spans="4:18">
      <c r="D50" s="629" t="s">
        <v>1282</v>
      </c>
      <c r="E50" s="629"/>
      <c r="F50" s="629"/>
      <c r="G50" s="629"/>
      <c r="H50" s="629"/>
      <c r="I50" s="629"/>
      <c r="J50" s="629"/>
      <c r="K50" s="629"/>
      <c r="L50" s="629"/>
      <c r="M50" s="629"/>
      <c r="N50" s="629"/>
      <c r="O50" s="629"/>
      <c r="P50" s="629"/>
      <c r="Q50" s="629"/>
      <c r="R50" s="629"/>
    </row>
    <row r="51" spans="4:18" ht="13.5" customHeight="1">
      <c r="D51" s="629"/>
      <c r="E51" s="629"/>
      <c r="F51" s="629"/>
      <c r="G51" s="629"/>
      <c r="H51" s="629"/>
      <c r="I51" s="629"/>
      <c r="J51" s="629"/>
      <c r="K51" s="629"/>
      <c r="L51" s="629"/>
      <c r="M51" s="629"/>
      <c r="N51" s="629"/>
      <c r="O51" s="629"/>
      <c r="P51" s="629"/>
      <c r="Q51" s="629"/>
      <c r="R51" s="629"/>
    </row>
    <row r="52" spans="4:18" ht="7.5" customHeight="1">
      <c r="D52" s="629"/>
      <c r="E52" s="629"/>
      <c r="F52" s="629"/>
      <c r="G52" s="629"/>
      <c r="H52" s="629"/>
      <c r="I52" s="629"/>
      <c r="J52" s="629"/>
      <c r="K52" s="629"/>
      <c r="L52" s="629"/>
      <c r="M52" s="629"/>
      <c r="N52" s="629"/>
      <c r="O52" s="629"/>
      <c r="P52" s="629"/>
      <c r="Q52" s="629"/>
      <c r="R52" s="629"/>
    </row>
    <row r="53" spans="4:18" ht="14.25" customHeight="1">
      <c r="D53" s="629"/>
      <c r="E53" s="629"/>
      <c r="F53" s="629"/>
      <c r="G53" s="629"/>
      <c r="H53" s="629"/>
      <c r="I53" s="629"/>
      <c r="J53" s="629"/>
      <c r="K53" s="629"/>
      <c r="L53" s="629"/>
      <c r="M53" s="629"/>
      <c r="N53" s="629"/>
      <c r="O53" s="629"/>
      <c r="P53" s="629"/>
      <c r="Q53" s="629"/>
      <c r="R53" s="629"/>
    </row>
    <row r="54" spans="4:18" ht="1.5" hidden="1" customHeight="1">
      <c r="D54" s="629"/>
      <c r="E54" s="629"/>
      <c r="F54" s="629"/>
      <c r="G54" s="629"/>
      <c r="H54" s="629"/>
      <c r="I54" s="629"/>
      <c r="J54" s="629"/>
      <c r="K54" s="629"/>
      <c r="L54" s="629"/>
      <c r="M54" s="629"/>
      <c r="N54" s="629"/>
      <c r="O54" s="629"/>
      <c r="P54" s="629"/>
      <c r="Q54" s="629"/>
      <c r="R54" s="629"/>
    </row>
    <row r="55" spans="4:18" ht="25.5" customHeight="1">
      <c r="D55" s="629" t="s">
        <v>1283</v>
      </c>
      <c r="E55" s="629"/>
      <c r="F55" s="629"/>
      <c r="G55" s="629"/>
      <c r="H55" s="629"/>
      <c r="I55" s="629"/>
      <c r="J55" s="629"/>
      <c r="K55" s="629"/>
      <c r="L55" s="629"/>
      <c r="M55" s="629"/>
      <c r="N55" s="629"/>
      <c r="O55" s="629"/>
      <c r="P55" s="629"/>
      <c r="Q55" s="629"/>
      <c r="R55" s="629"/>
    </row>
    <row r="56" spans="4:18" ht="13.5" customHeight="1">
      <c r="D56" s="629" t="s">
        <v>1284</v>
      </c>
      <c r="E56" s="629"/>
      <c r="F56" s="629"/>
      <c r="G56" s="629"/>
      <c r="H56" s="629"/>
      <c r="I56" s="629"/>
      <c r="J56" s="629"/>
      <c r="K56" s="629"/>
      <c r="L56" s="629"/>
      <c r="M56" s="629"/>
      <c r="N56" s="629"/>
      <c r="O56" s="629"/>
      <c r="P56" s="629"/>
      <c r="Q56" s="629"/>
      <c r="R56" s="629"/>
    </row>
    <row r="57" spans="4:18" ht="26.25" customHeight="1">
      <c r="D57" s="629" t="s">
        <v>1285</v>
      </c>
      <c r="E57" s="629"/>
      <c r="F57" s="629"/>
      <c r="G57" s="629"/>
      <c r="H57" s="629"/>
      <c r="I57" s="629"/>
      <c r="J57" s="629"/>
      <c r="K57" s="629"/>
      <c r="L57" s="629"/>
      <c r="M57" s="629"/>
      <c r="N57" s="629"/>
      <c r="O57" s="629"/>
      <c r="P57" s="629"/>
      <c r="Q57" s="629"/>
      <c r="R57" s="629"/>
    </row>
    <row r="58" spans="4:18" ht="14.25" customHeight="1">
      <c r="D58" s="380" t="s">
        <v>1286</v>
      </c>
      <c r="E58" s="381"/>
      <c r="F58" s="381"/>
      <c r="G58" s="381"/>
      <c r="H58" s="381"/>
      <c r="I58" s="381"/>
      <c r="J58" s="381"/>
      <c r="K58" s="381"/>
      <c r="L58" s="381"/>
      <c r="M58" s="381"/>
      <c r="N58" s="381"/>
      <c r="O58" s="381"/>
      <c r="P58" s="381"/>
      <c r="Q58" s="381"/>
      <c r="R58" s="381"/>
    </row>
    <row r="59" spans="4:18" ht="27" customHeight="1">
      <c r="D59" s="628" t="s">
        <v>1287</v>
      </c>
      <c r="E59" s="636"/>
      <c r="F59" s="636"/>
      <c r="G59" s="636"/>
      <c r="H59" s="636"/>
      <c r="I59" s="636"/>
      <c r="J59" s="636"/>
      <c r="K59" s="636"/>
      <c r="L59" s="636"/>
      <c r="M59" s="636"/>
      <c r="N59" s="636"/>
      <c r="O59" s="636"/>
      <c r="P59" s="636"/>
      <c r="Q59" s="636"/>
      <c r="R59" s="636"/>
    </row>
    <row r="60" spans="4:18" ht="15" customHeight="1">
      <c r="D60" s="380" t="s">
        <v>1288</v>
      </c>
      <c r="E60" s="381"/>
      <c r="F60" s="381"/>
      <c r="G60" s="381"/>
      <c r="H60" s="381"/>
      <c r="I60" s="381"/>
      <c r="J60" s="381"/>
      <c r="K60" s="381"/>
      <c r="L60" s="381"/>
      <c r="M60" s="381"/>
      <c r="N60" s="381"/>
      <c r="O60" s="381"/>
      <c r="P60" s="381"/>
      <c r="Q60" s="381"/>
      <c r="R60" s="381"/>
    </row>
    <row r="61" spans="4:18" ht="26.25" customHeight="1">
      <c r="D61" s="637" t="s">
        <v>1289</v>
      </c>
      <c r="E61" s="637"/>
      <c r="F61" s="637"/>
      <c r="G61" s="637"/>
      <c r="H61" s="637"/>
      <c r="I61" s="637"/>
      <c r="J61" s="637"/>
      <c r="K61" s="637"/>
      <c r="L61" s="637"/>
      <c r="M61" s="637"/>
      <c r="N61" s="637"/>
      <c r="O61" s="637"/>
      <c r="P61" s="637"/>
      <c r="Q61" s="637"/>
      <c r="R61" s="381"/>
    </row>
    <row r="62" spans="4:18">
      <c r="D62" s="429"/>
      <c r="E62" s="429"/>
      <c r="F62" s="429"/>
      <c r="G62" s="429"/>
      <c r="H62" s="429"/>
      <c r="I62" s="429"/>
      <c r="J62" s="429"/>
      <c r="K62" s="429"/>
      <c r="L62" s="429"/>
      <c r="M62" s="429"/>
      <c r="N62" s="429"/>
      <c r="O62" s="429"/>
      <c r="P62" s="429"/>
      <c r="Q62" s="429"/>
      <c r="R62" s="381"/>
    </row>
    <row r="63" spans="4:18">
      <c r="D63" s="429"/>
      <c r="E63" s="429"/>
      <c r="F63" s="429"/>
      <c r="G63" s="429"/>
      <c r="H63" s="429"/>
      <c r="I63" s="429"/>
      <c r="J63" s="429"/>
      <c r="K63" s="429"/>
      <c r="L63" s="429"/>
      <c r="M63" s="429"/>
      <c r="N63" s="429"/>
      <c r="O63" s="429"/>
      <c r="P63" s="429"/>
      <c r="Q63" s="429"/>
      <c r="R63" s="381"/>
    </row>
    <row r="64" spans="4:18">
      <c r="D64" s="355"/>
      <c r="E64" s="430"/>
      <c r="F64" s="430"/>
      <c r="G64" s="430"/>
      <c r="H64" s="430"/>
      <c r="I64" s="430"/>
      <c r="J64" s="430"/>
      <c r="K64" s="430"/>
      <c r="L64" s="430"/>
      <c r="M64" s="430"/>
      <c r="N64" s="430"/>
      <c r="O64" s="430"/>
      <c r="P64" s="430"/>
      <c r="Q64" s="430"/>
      <c r="R64" s="430"/>
    </row>
  </sheetData>
  <mergeCells count="19">
    <mergeCell ref="E5:H5"/>
    <mergeCell ref="J5:M5"/>
    <mergeCell ref="O5:P5"/>
    <mergeCell ref="E6:F6"/>
    <mergeCell ref="H6:H7"/>
    <mergeCell ref="J6:K6"/>
    <mergeCell ref="M6:M7"/>
    <mergeCell ref="O6:P6"/>
    <mergeCell ref="D57:R57"/>
    <mergeCell ref="D59:R59"/>
    <mergeCell ref="D61:Q61"/>
    <mergeCell ref="AB6:AC6"/>
    <mergeCell ref="D48:R48"/>
    <mergeCell ref="D49:R49"/>
    <mergeCell ref="D55:R55"/>
    <mergeCell ref="D56:R56"/>
    <mergeCell ref="D50:R54"/>
    <mergeCell ref="Q6:Q7"/>
    <mergeCell ref="R6:R7"/>
  </mergeCells>
  <conditionalFormatting sqref="D8:R47">
    <cfRule type="expression" dxfId="3" priority="1">
      <formula>MOD(ROW(),2)=0</formula>
    </cfRule>
  </conditionalFormatting>
  <conditionalFormatting sqref="AA8:AA47">
    <cfRule type="containsText" dxfId="2" priority="2" operator="containsText" text="DESK">
      <formula>NOT(ISERROR(SEARCH("DESK",AA8)))</formula>
    </cfRule>
  </conditionalFormatting>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0C82-0840-4C18-8025-150A0F47A634}">
  <dimension ref="A2:AB57"/>
  <sheetViews>
    <sheetView zoomScaleNormal="100" workbookViewId="0">
      <pane xSplit="4" ySplit="7" topLeftCell="E8" activePane="bottomRight" state="frozen"/>
      <selection pane="bottomRight" activeCell="B88" sqref="B88:K88"/>
      <selection pane="bottomLeft" activeCell="B88" sqref="B88:K88"/>
      <selection pane="topRight" activeCell="B88" sqref="B88:K88"/>
    </sheetView>
  </sheetViews>
  <sheetFormatPr defaultColWidth="9.140625" defaultRowHeight="14.25"/>
  <cols>
    <col min="1" max="1" width="4.5703125" style="345" hidden="1" customWidth="1"/>
    <col min="2" max="2" width="6.28515625" style="345" hidden="1" customWidth="1"/>
    <col min="3" max="3" width="3.42578125" style="345" customWidth="1"/>
    <col min="4" max="4" width="29.140625" style="348" customWidth="1"/>
    <col min="5" max="5" width="11.7109375" style="397" customWidth="1"/>
    <col min="6" max="6" width="27.85546875" style="397" bestFit="1" customWidth="1"/>
    <col min="7" max="7" width="1" style="397" customWidth="1"/>
    <col min="8" max="8" width="12.85546875" style="397" customWidth="1"/>
    <col min="9" max="9" width="2.7109375" style="397" customWidth="1"/>
    <col min="10" max="10" width="11.7109375" style="397" customWidth="1"/>
    <col min="11" max="11" width="27.85546875" style="397" bestFit="1" customWidth="1"/>
    <col min="12" max="12" width="1" style="397" customWidth="1"/>
    <col min="13" max="13" width="12.7109375" style="397" customWidth="1"/>
    <col min="14" max="14" width="2.7109375" style="397" customWidth="1"/>
    <col min="15" max="15" width="11.7109375" style="397" customWidth="1"/>
    <col min="16" max="16" width="28.42578125" style="397" bestFit="1" customWidth="1"/>
    <col min="17" max="17" width="13.140625" style="348" customWidth="1"/>
    <col min="18" max="19" width="0.85546875" style="349" customWidth="1"/>
    <col min="20" max="21" width="5" style="349" hidden="1" customWidth="1"/>
    <col min="22" max="22" width="51.140625" style="349" hidden="1" customWidth="1"/>
    <col min="23" max="23" width="11.140625" style="398" hidden="1" customWidth="1"/>
    <col min="24" max="24" width="20.5703125" style="400" hidden="1" customWidth="1"/>
    <col min="25" max="25" width="18.7109375" style="400" hidden="1" customWidth="1"/>
    <col min="26" max="26" width="0" style="400" hidden="1" customWidth="1"/>
    <col min="27" max="33" width="0" style="345" hidden="1" customWidth="1"/>
    <col min="34" max="16384" width="9.140625" style="345"/>
  </cols>
  <sheetData>
    <row r="2" spans="1:27">
      <c r="D2" s="347"/>
    </row>
    <row r="3" spans="1:27" ht="15">
      <c r="D3" s="642"/>
      <c r="E3" s="642"/>
      <c r="F3" s="642"/>
      <c r="G3" s="642"/>
      <c r="H3" s="642"/>
      <c r="I3" s="642"/>
      <c r="J3" s="642"/>
      <c r="K3" s="642"/>
      <c r="L3" s="642"/>
      <c r="M3" s="642"/>
      <c r="N3" s="642"/>
      <c r="O3" s="642"/>
      <c r="P3" s="642"/>
      <c r="Q3" s="642"/>
      <c r="R3" s="642"/>
      <c r="S3" s="431"/>
    </row>
    <row r="4" spans="1:27" ht="15">
      <c r="D4" s="631" t="s">
        <v>1290</v>
      </c>
      <c r="E4" s="631"/>
      <c r="F4" s="631"/>
      <c r="G4" s="631"/>
      <c r="H4" s="631"/>
      <c r="I4" s="631"/>
      <c r="J4" s="631"/>
      <c r="K4" s="631"/>
      <c r="L4" s="631"/>
      <c r="M4" s="631"/>
      <c r="N4" s="631"/>
      <c r="O4" s="631"/>
      <c r="P4" s="631"/>
      <c r="Q4" s="631"/>
      <c r="R4" s="631"/>
      <c r="S4" s="353"/>
      <c r="T4" s="431"/>
      <c r="U4" s="431"/>
      <c r="V4" s="431"/>
    </row>
    <row r="5" spans="1:27">
      <c r="D5" s="355"/>
      <c r="E5" s="643" t="s">
        <v>1206</v>
      </c>
      <c r="F5" s="643"/>
      <c r="G5" s="643"/>
      <c r="H5" s="643"/>
      <c r="I5" s="356"/>
      <c r="J5" s="643" t="s">
        <v>1207</v>
      </c>
      <c r="K5" s="643"/>
      <c r="L5" s="643"/>
      <c r="M5" s="643"/>
      <c r="N5" s="356"/>
      <c r="O5" s="643" t="s">
        <v>137</v>
      </c>
      <c r="P5" s="643"/>
      <c r="Q5" s="643"/>
      <c r="R5" s="643"/>
      <c r="S5" s="356"/>
      <c r="T5" s="432"/>
      <c r="U5" s="432"/>
      <c r="V5" s="432"/>
    </row>
    <row r="6" spans="1:27" ht="25.5" customHeight="1">
      <c r="D6" s="360"/>
      <c r="E6" s="644" t="s">
        <v>1208</v>
      </c>
      <c r="F6" s="644"/>
      <c r="G6" s="361"/>
      <c r="H6" s="634" t="s">
        <v>1247</v>
      </c>
      <c r="I6" s="362"/>
      <c r="J6" s="644" t="s">
        <v>1208</v>
      </c>
      <c r="K6" s="644"/>
      <c r="L6" s="361"/>
      <c r="M6" s="634" t="s">
        <v>1247</v>
      </c>
      <c r="N6" s="362"/>
      <c r="O6" s="644" t="s">
        <v>1208</v>
      </c>
      <c r="P6" s="644"/>
      <c r="Q6" s="634" t="s">
        <v>1210</v>
      </c>
      <c r="R6" s="634"/>
      <c r="S6" s="433"/>
      <c r="T6" s="363"/>
      <c r="U6" s="363"/>
      <c r="V6" s="363"/>
      <c r="W6" s="409" t="s">
        <v>1211</v>
      </c>
      <c r="X6" s="638" t="s">
        <v>1212</v>
      </c>
      <c r="Y6" s="638"/>
    </row>
    <row r="7" spans="1:27" ht="15">
      <c r="A7" s="366" t="s">
        <v>1213</v>
      </c>
      <c r="D7" s="360"/>
      <c r="E7" s="367" t="s">
        <v>1214</v>
      </c>
      <c r="F7" s="367" t="s">
        <v>1215</v>
      </c>
      <c r="G7" s="356"/>
      <c r="H7" s="639"/>
      <c r="I7" s="356"/>
      <c r="J7" s="367" t="s">
        <v>1214</v>
      </c>
      <c r="K7" s="367" t="s">
        <v>1215</v>
      </c>
      <c r="L7" s="356"/>
      <c r="M7" s="639"/>
      <c r="N7" s="356"/>
      <c r="O7" s="367" t="s">
        <v>1214</v>
      </c>
      <c r="P7" s="367" t="s">
        <v>1215</v>
      </c>
      <c r="Q7" s="639"/>
      <c r="R7" s="635"/>
      <c r="S7" s="433"/>
      <c r="T7" s="363"/>
      <c r="U7" s="363"/>
      <c r="V7" s="363"/>
      <c r="W7" s="434"/>
      <c r="X7" s="435" t="s">
        <v>1216</v>
      </c>
      <c r="Y7" s="435" t="s">
        <v>1217</v>
      </c>
      <c r="Z7" s="435" t="s">
        <v>1218</v>
      </c>
    </row>
    <row r="8" spans="1:27">
      <c r="D8" s="412" t="s">
        <v>1039</v>
      </c>
      <c r="E8" s="413" t="s">
        <v>1235</v>
      </c>
      <c r="F8" s="413" t="s">
        <v>1235</v>
      </c>
      <c r="G8" s="413"/>
      <c r="H8" s="413" t="s">
        <v>1234</v>
      </c>
      <c r="I8" s="413"/>
      <c r="J8" s="382" t="s">
        <v>139</v>
      </c>
      <c r="K8" s="382" t="s">
        <v>139</v>
      </c>
      <c r="L8" s="382"/>
      <c r="M8" s="382" t="s">
        <v>139</v>
      </c>
      <c r="N8" s="413"/>
      <c r="O8" s="413" t="s">
        <v>1235</v>
      </c>
      <c r="P8" s="413" t="s">
        <v>1235</v>
      </c>
      <c r="Q8" s="382" t="s">
        <v>317</v>
      </c>
    </row>
    <row r="9" spans="1:27">
      <c r="A9" s="370" t="s">
        <v>1235</v>
      </c>
      <c r="B9" s="371" t="s">
        <v>1234</v>
      </c>
      <c r="C9" s="436"/>
      <c r="D9" s="380" t="s">
        <v>1040</v>
      </c>
      <c r="E9" s="381" t="s">
        <v>1235</v>
      </c>
      <c r="F9" s="382" t="s">
        <v>1235</v>
      </c>
      <c r="G9" s="382"/>
      <c r="H9" s="382" t="s">
        <v>1234</v>
      </c>
      <c r="I9" s="382"/>
      <c r="J9" s="382" t="s">
        <v>1235</v>
      </c>
      <c r="K9" s="382" t="s">
        <v>1235</v>
      </c>
      <c r="L9" s="382"/>
      <c r="M9" s="382" t="s">
        <v>1234</v>
      </c>
      <c r="N9" s="382"/>
      <c r="O9" s="382" t="s">
        <v>1235</v>
      </c>
      <c r="P9" s="382" t="s">
        <v>1235</v>
      </c>
      <c r="Q9" s="382" t="s">
        <v>317</v>
      </c>
      <c r="R9" s="382"/>
      <c r="S9" s="382"/>
      <c r="T9" s="397">
        <v>1</v>
      </c>
      <c r="U9" s="397">
        <v>1</v>
      </c>
      <c r="V9" s="397"/>
      <c r="X9" s="348" t="e">
        <v>#REF!</v>
      </c>
      <c r="Y9" s="348" t="e">
        <v>#REF!</v>
      </c>
      <c r="Z9" s="348" t="e">
        <v>#REF!</v>
      </c>
      <c r="AA9" s="348"/>
    </row>
    <row r="10" spans="1:27">
      <c r="A10" s="370" t="s">
        <v>1235</v>
      </c>
      <c r="B10" s="371" t="s">
        <v>1234</v>
      </c>
      <c r="C10" s="436"/>
      <c r="D10" s="380" t="s">
        <v>1041</v>
      </c>
      <c r="E10" s="381" t="s">
        <v>1235</v>
      </c>
      <c r="F10" s="382" t="s">
        <v>1235</v>
      </c>
      <c r="G10" s="382"/>
      <c r="H10" s="382" t="s">
        <v>1234</v>
      </c>
      <c r="I10" s="382"/>
      <c r="J10" s="382" t="s">
        <v>139</v>
      </c>
      <c r="K10" s="382" t="s">
        <v>139</v>
      </c>
      <c r="L10" s="382"/>
      <c r="M10" s="382" t="s">
        <v>139</v>
      </c>
      <c r="N10" s="382"/>
      <c r="O10" s="382" t="s">
        <v>1235</v>
      </c>
      <c r="P10" s="382" t="s">
        <v>1235</v>
      </c>
      <c r="Q10" s="382" t="s">
        <v>317</v>
      </c>
      <c r="R10" s="382"/>
      <c r="S10" s="382"/>
      <c r="T10" s="397">
        <v>1</v>
      </c>
      <c r="U10" s="397">
        <v>1</v>
      </c>
      <c r="V10" s="397"/>
      <c r="X10" s="348" t="e">
        <v>#REF!</v>
      </c>
      <c r="Y10" s="348" t="e">
        <v>#REF!</v>
      </c>
      <c r="Z10" s="348" t="e">
        <v>#REF!</v>
      </c>
      <c r="AA10" s="400"/>
    </row>
    <row r="11" spans="1:27">
      <c r="A11" s="370" t="s">
        <v>1235</v>
      </c>
      <c r="B11" s="371" t="s">
        <v>1291</v>
      </c>
      <c r="C11" s="436"/>
      <c r="D11" s="380" t="s">
        <v>1042</v>
      </c>
      <c r="E11" s="381" t="s">
        <v>1235</v>
      </c>
      <c r="F11" s="382" t="s">
        <v>1235</v>
      </c>
      <c r="G11" s="382"/>
      <c r="H11" s="382" t="s">
        <v>1291</v>
      </c>
      <c r="I11" s="382"/>
      <c r="J11" s="382" t="s">
        <v>139</v>
      </c>
      <c r="K11" s="382" t="s">
        <v>139</v>
      </c>
      <c r="L11" s="382"/>
      <c r="M11" s="382" t="s">
        <v>139</v>
      </c>
      <c r="N11" s="382"/>
      <c r="O11" s="382" t="s">
        <v>1235</v>
      </c>
      <c r="P11" s="382" t="s">
        <v>1235</v>
      </c>
      <c r="Q11" s="382" t="s">
        <v>1229</v>
      </c>
      <c r="R11" s="382"/>
      <c r="S11" s="382"/>
      <c r="T11" s="397">
        <v>1</v>
      </c>
      <c r="U11" s="397">
        <v>1</v>
      </c>
      <c r="V11" s="397"/>
      <c r="X11" s="348" t="e">
        <v>#REF!</v>
      </c>
      <c r="Y11" s="348" t="e">
        <v>#REF!</v>
      </c>
      <c r="Z11" s="348" t="e">
        <v>#REF!</v>
      </c>
      <c r="AA11" s="400"/>
    </row>
    <row r="12" spans="1:27">
      <c r="A12" s="370" t="s">
        <v>1240</v>
      </c>
      <c r="B12" s="371" t="s">
        <v>1221</v>
      </c>
      <c r="C12" s="436"/>
      <c r="D12" s="380" t="s">
        <v>1043</v>
      </c>
      <c r="E12" s="381" t="s">
        <v>1235</v>
      </c>
      <c r="F12" s="382" t="s">
        <v>1240</v>
      </c>
      <c r="G12" s="382"/>
      <c r="H12" s="382" t="s">
        <v>1221</v>
      </c>
      <c r="I12" s="382"/>
      <c r="J12" s="382" t="s">
        <v>1235</v>
      </c>
      <c r="K12" s="382" t="s">
        <v>1240</v>
      </c>
      <c r="L12" s="382"/>
      <c r="M12" s="382" t="s">
        <v>1221</v>
      </c>
      <c r="N12" s="382"/>
      <c r="O12" s="382" t="s">
        <v>1235</v>
      </c>
      <c r="P12" s="382" t="s">
        <v>1240</v>
      </c>
      <c r="Q12" s="382" t="s">
        <v>1229</v>
      </c>
      <c r="R12" s="382"/>
      <c r="S12" s="382"/>
      <c r="T12" s="397">
        <v>1</v>
      </c>
      <c r="U12" s="397">
        <v>1</v>
      </c>
      <c r="V12" s="397"/>
      <c r="X12" s="348" t="e">
        <v>#REF!</v>
      </c>
      <c r="Y12" s="348" t="e">
        <v>#REF!</v>
      </c>
      <c r="Z12" s="348" t="e">
        <v>#REF!</v>
      </c>
      <c r="AA12" s="400"/>
    </row>
    <row r="13" spans="1:27">
      <c r="A13" s="370" t="s">
        <v>1235</v>
      </c>
      <c r="B13" s="371" t="s">
        <v>1234</v>
      </c>
      <c r="C13" s="436"/>
      <c r="D13" s="380" t="s">
        <v>1044</v>
      </c>
      <c r="E13" s="381" t="s">
        <v>1235</v>
      </c>
      <c r="F13" s="382" t="s">
        <v>1235</v>
      </c>
      <c r="G13" s="382"/>
      <c r="H13" s="382" t="s">
        <v>1234</v>
      </c>
      <c r="I13" s="382"/>
      <c r="J13" s="382" t="s">
        <v>139</v>
      </c>
      <c r="K13" s="382" t="s">
        <v>139</v>
      </c>
      <c r="L13" s="382"/>
      <c r="M13" s="382" t="s">
        <v>139</v>
      </c>
      <c r="N13" s="382"/>
      <c r="O13" s="382" t="s">
        <v>1235</v>
      </c>
      <c r="P13" s="382" t="s">
        <v>1235</v>
      </c>
      <c r="Q13" s="382" t="s">
        <v>317</v>
      </c>
      <c r="R13" s="382"/>
      <c r="S13" s="382"/>
      <c r="T13" s="397">
        <v>1</v>
      </c>
      <c r="U13" s="397">
        <v>1</v>
      </c>
      <c r="V13" s="397"/>
      <c r="X13" s="348" t="e">
        <v>#REF!</v>
      </c>
      <c r="Y13" s="348" t="e">
        <v>#REF!</v>
      </c>
      <c r="Z13" s="348" t="e">
        <v>#REF!</v>
      </c>
      <c r="AA13" s="400"/>
    </row>
    <row r="14" spans="1:27">
      <c r="A14" s="370" t="s">
        <v>1292</v>
      </c>
      <c r="B14" s="371" t="s">
        <v>1234</v>
      </c>
      <c r="C14" s="436"/>
      <c r="D14" s="380" t="s">
        <v>241</v>
      </c>
      <c r="E14" s="381" t="s">
        <v>1258</v>
      </c>
      <c r="F14" s="382" t="s">
        <v>1292</v>
      </c>
      <c r="G14" s="382"/>
      <c r="H14" s="382" t="s">
        <v>1234</v>
      </c>
      <c r="I14" s="382"/>
      <c r="J14" s="382" t="s">
        <v>139</v>
      </c>
      <c r="K14" s="382" t="s">
        <v>139</v>
      </c>
      <c r="L14" s="382"/>
      <c r="M14" s="382" t="s">
        <v>139</v>
      </c>
      <c r="N14" s="382"/>
      <c r="O14" s="382" t="s">
        <v>1235</v>
      </c>
      <c r="P14" s="382" t="s">
        <v>1235</v>
      </c>
      <c r="Q14" s="382" t="s">
        <v>1229</v>
      </c>
      <c r="R14" s="382"/>
      <c r="S14" s="382"/>
      <c r="T14" s="397">
        <v>1</v>
      </c>
      <c r="U14" s="397">
        <v>1</v>
      </c>
      <c r="V14" s="397"/>
      <c r="W14" s="398" t="s">
        <v>1293</v>
      </c>
      <c r="X14" s="348" t="e">
        <v>#REF!</v>
      </c>
      <c r="Y14" s="348" t="e">
        <v>#REF!</v>
      </c>
      <c r="Z14" s="348" t="e">
        <v>#REF!</v>
      </c>
      <c r="AA14" s="400"/>
    </row>
    <row r="15" spans="1:27">
      <c r="A15" s="370" t="s">
        <v>1240</v>
      </c>
      <c r="B15" s="371" t="s">
        <v>1221</v>
      </c>
      <c r="C15" s="436"/>
      <c r="D15" s="380" t="s">
        <v>1045</v>
      </c>
      <c r="E15" s="381" t="s">
        <v>1235</v>
      </c>
      <c r="F15" s="382" t="s">
        <v>1240</v>
      </c>
      <c r="G15" s="382"/>
      <c r="H15" s="382" t="s">
        <v>1221</v>
      </c>
      <c r="I15" s="382"/>
      <c r="J15" s="382" t="s">
        <v>139</v>
      </c>
      <c r="K15" s="382" t="s">
        <v>139</v>
      </c>
      <c r="L15" s="382"/>
      <c r="M15" s="382" t="s">
        <v>139</v>
      </c>
      <c r="N15" s="382"/>
      <c r="O15" s="382" t="s">
        <v>1222</v>
      </c>
      <c r="P15" s="382" t="s">
        <v>1294</v>
      </c>
      <c r="Q15" s="382" t="s">
        <v>317</v>
      </c>
      <c r="R15" s="382"/>
      <c r="S15" s="382"/>
      <c r="T15" s="397">
        <v>1</v>
      </c>
      <c r="U15" s="397">
        <v>1</v>
      </c>
      <c r="V15" s="397"/>
      <c r="X15" s="348" t="e">
        <v>#REF!</v>
      </c>
      <c r="Y15" s="348" t="e">
        <v>#REF!</v>
      </c>
      <c r="Z15" s="348" t="e">
        <v>#REF!</v>
      </c>
      <c r="AA15" s="400"/>
    </row>
    <row r="16" spans="1:27">
      <c r="A16" s="437" t="s">
        <v>1240</v>
      </c>
      <c r="B16" s="437" t="s">
        <v>1221</v>
      </c>
      <c r="C16" s="436"/>
      <c r="D16" s="380" t="s">
        <v>1046</v>
      </c>
      <c r="E16" s="381" t="s">
        <v>1235</v>
      </c>
      <c r="F16" s="382" t="s">
        <v>1235</v>
      </c>
      <c r="G16" s="382"/>
      <c r="H16" s="382" t="s">
        <v>1221</v>
      </c>
      <c r="I16" s="382"/>
      <c r="J16" s="382" t="s">
        <v>139</v>
      </c>
      <c r="K16" s="382" t="s">
        <v>139</v>
      </c>
      <c r="L16" s="382"/>
      <c r="M16" s="382" t="s">
        <v>139</v>
      </c>
      <c r="N16" s="382"/>
      <c r="O16" s="382" t="s">
        <v>1235</v>
      </c>
      <c r="P16" s="382" t="s">
        <v>1235</v>
      </c>
      <c r="Q16" s="382" t="s">
        <v>317</v>
      </c>
      <c r="R16" s="382"/>
      <c r="S16" s="382"/>
      <c r="T16" s="397" t="s">
        <v>1236</v>
      </c>
      <c r="U16" s="397">
        <v>1</v>
      </c>
      <c r="V16" s="397"/>
      <c r="X16" s="348" t="e">
        <v>#REF!</v>
      </c>
      <c r="Y16" s="348" t="e">
        <v>#REF!</v>
      </c>
      <c r="Z16" s="348" t="e">
        <v>#REF!</v>
      </c>
      <c r="AA16" s="400"/>
    </row>
    <row r="17" spans="1:28">
      <c r="A17" s="437" t="s">
        <v>1269</v>
      </c>
      <c r="B17" s="437" t="s">
        <v>1221</v>
      </c>
      <c r="C17" s="438"/>
      <c r="D17" s="380" t="s">
        <v>1047</v>
      </c>
      <c r="E17" s="381" t="s">
        <v>1235</v>
      </c>
      <c r="F17" s="382" t="s">
        <v>1269</v>
      </c>
      <c r="G17" s="382"/>
      <c r="H17" s="382" t="s">
        <v>505</v>
      </c>
      <c r="I17" s="382"/>
      <c r="J17" s="382" t="s">
        <v>139</v>
      </c>
      <c r="K17" s="382" t="s">
        <v>139</v>
      </c>
      <c r="L17" s="382"/>
      <c r="M17" s="382" t="s">
        <v>139</v>
      </c>
      <c r="N17" s="382"/>
      <c r="O17" s="382" t="s">
        <v>1235</v>
      </c>
      <c r="P17" s="382" t="s">
        <v>1295</v>
      </c>
      <c r="Q17" s="382" t="s">
        <v>317</v>
      </c>
      <c r="R17" s="382"/>
      <c r="S17" s="382"/>
      <c r="T17" s="397">
        <v>1</v>
      </c>
      <c r="U17" s="397">
        <v>1</v>
      </c>
      <c r="V17" s="397"/>
      <c r="X17" s="348" t="e">
        <v>#REF!</v>
      </c>
      <c r="Y17" s="348" t="e">
        <v>#REF!</v>
      </c>
      <c r="Z17" s="348" t="e">
        <v>#REF!</v>
      </c>
      <c r="AA17" s="400"/>
    </row>
    <row r="18" spans="1:28">
      <c r="A18" s="370" t="s">
        <v>1296</v>
      </c>
      <c r="B18" s="371" t="s">
        <v>1234</v>
      </c>
      <c r="C18" s="439"/>
      <c r="D18" s="380" t="s">
        <v>1048</v>
      </c>
      <c r="E18" s="381" t="s">
        <v>1222</v>
      </c>
      <c r="F18" s="382" t="s">
        <v>1241</v>
      </c>
      <c r="G18" s="382"/>
      <c r="H18" s="382" t="s">
        <v>1234</v>
      </c>
      <c r="I18" s="382"/>
      <c r="J18" s="382" t="s">
        <v>139</v>
      </c>
      <c r="K18" s="382" t="s">
        <v>139</v>
      </c>
      <c r="L18" s="382"/>
      <c r="M18" s="382" t="s">
        <v>139</v>
      </c>
      <c r="N18" s="382"/>
      <c r="O18" s="382" t="s">
        <v>1258</v>
      </c>
      <c r="P18" s="382" t="s">
        <v>1296</v>
      </c>
      <c r="Q18" s="382" t="s">
        <v>317</v>
      </c>
      <c r="R18" s="382"/>
      <c r="S18" s="382"/>
      <c r="T18" s="397" t="s">
        <v>1236</v>
      </c>
      <c r="U18" s="397">
        <v>1</v>
      </c>
      <c r="V18" s="397"/>
      <c r="X18" s="348" t="e">
        <v>#REF!</v>
      </c>
      <c r="Y18" s="348" t="e">
        <v>#REF!</v>
      </c>
      <c r="Z18" s="348" t="e">
        <v>#REF!</v>
      </c>
      <c r="AA18" s="400"/>
    </row>
    <row r="19" spans="1:28">
      <c r="A19" s="370" t="s">
        <v>1235</v>
      </c>
      <c r="B19" s="371" t="s">
        <v>1234</v>
      </c>
      <c r="C19" s="436"/>
      <c r="D19" s="380" t="s">
        <v>1049</v>
      </c>
      <c r="E19" s="381" t="s">
        <v>1235</v>
      </c>
      <c r="F19" s="382" t="s">
        <v>1235</v>
      </c>
      <c r="G19" s="382"/>
      <c r="H19" s="382" t="s">
        <v>1291</v>
      </c>
      <c r="I19" s="382"/>
      <c r="J19" s="382" t="s">
        <v>139</v>
      </c>
      <c r="K19" s="382" t="s">
        <v>139</v>
      </c>
      <c r="L19" s="382"/>
      <c r="M19" s="382" t="s">
        <v>139</v>
      </c>
      <c r="N19" s="382"/>
      <c r="O19" s="382" t="s">
        <v>1235</v>
      </c>
      <c r="P19" s="382" t="s">
        <v>1235</v>
      </c>
      <c r="Q19" s="382" t="s">
        <v>1229</v>
      </c>
      <c r="R19" s="382"/>
      <c r="S19" s="382"/>
      <c r="T19" s="397">
        <v>1</v>
      </c>
      <c r="U19" s="397">
        <v>1</v>
      </c>
      <c r="V19" s="397"/>
      <c r="X19" s="348" t="e">
        <v>#REF!</v>
      </c>
      <c r="Y19" s="348" t="e">
        <v>#REF!</v>
      </c>
      <c r="Z19" s="348" t="e">
        <v>#REF!</v>
      </c>
      <c r="AA19" s="400"/>
    </row>
    <row r="20" spans="1:28">
      <c r="A20" s="370" t="s">
        <v>1235</v>
      </c>
      <c r="B20" s="371" t="s">
        <v>1234</v>
      </c>
      <c r="C20" s="436"/>
      <c r="D20" s="380" t="s">
        <v>1050</v>
      </c>
      <c r="E20" s="381" t="s">
        <v>1235</v>
      </c>
      <c r="F20" s="382" t="s">
        <v>1235</v>
      </c>
      <c r="G20" s="382"/>
      <c r="H20" s="382" t="s">
        <v>505</v>
      </c>
      <c r="I20" s="382"/>
      <c r="J20" s="382" t="s">
        <v>139</v>
      </c>
      <c r="K20" s="382" t="s">
        <v>139</v>
      </c>
      <c r="L20" s="382"/>
      <c r="M20" s="382" t="s">
        <v>139</v>
      </c>
      <c r="N20" s="382"/>
      <c r="O20" s="382" t="s">
        <v>1235</v>
      </c>
      <c r="P20" s="382" t="s">
        <v>1235</v>
      </c>
      <c r="Q20" s="382" t="s">
        <v>317</v>
      </c>
      <c r="R20" s="382"/>
      <c r="S20" s="382"/>
      <c r="T20" s="397">
        <v>1</v>
      </c>
      <c r="U20" s="397">
        <v>1</v>
      </c>
      <c r="V20" s="397"/>
      <c r="X20" s="348" t="e">
        <v>#REF!</v>
      </c>
      <c r="Y20" s="348" t="e">
        <v>#REF!</v>
      </c>
      <c r="Z20" s="348" t="e">
        <v>#REF!</v>
      </c>
      <c r="AA20" s="400"/>
    </row>
    <row r="21" spans="1:28">
      <c r="A21" s="370" t="s">
        <v>1235</v>
      </c>
      <c r="B21" s="371" t="s">
        <v>1234</v>
      </c>
      <c r="C21" s="436"/>
      <c r="D21" s="380" t="s">
        <v>1297</v>
      </c>
      <c r="E21" s="381" t="s">
        <v>1235</v>
      </c>
      <c r="F21" s="382" t="s">
        <v>1235</v>
      </c>
      <c r="G21" s="382"/>
      <c r="H21" s="382" t="s">
        <v>1234</v>
      </c>
      <c r="I21" s="382"/>
      <c r="J21" s="382" t="s">
        <v>145</v>
      </c>
      <c r="K21" s="382" t="s">
        <v>145</v>
      </c>
      <c r="L21" s="382"/>
      <c r="M21" s="382" t="s">
        <v>145</v>
      </c>
      <c r="N21" s="382"/>
      <c r="O21" s="382" t="s">
        <v>1235</v>
      </c>
      <c r="P21" s="382" t="s">
        <v>1235</v>
      </c>
      <c r="Q21" s="382" t="s">
        <v>317</v>
      </c>
      <c r="R21" s="382"/>
      <c r="S21" s="382"/>
      <c r="T21" s="397">
        <v>1</v>
      </c>
      <c r="U21" s="397">
        <v>1</v>
      </c>
      <c r="V21" s="397"/>
      <c r="X21" s="348" t="e">
        <v>#REF!</v>
      </c>
      <c r="Y21" s="348" t="e">
        <v>#REF!</v>
      </c>
      <c r="Z21" s="348" t="e">
        <v>#REF!</v>
      </c>
      <c r="AA21" s="400"/>
    </row>
    <row r="22" spans="1:28">
      <c r="A22" s="370" t="s">
        <v>1232</v>
      </c>
      <c r="B22" s="371" t="s">
        <v>505</v>
      </c>
      <c r="C22" s="436"/>
      <c r="D22" s="380" t="s">
        <v>1052</v>
      </c>
      <c r="E22" s="381" t="s">
        <v>1222</v>
      </c>
      <c r="F22" s="382" t="s">
        <v>1232</v>
      </c>
      <c r="G22" s="382"/>
      <c r="H22" s="382" t="s">
        <v>505</v>
      </c>
      <c r="I22" s="382"/>
      <c r="J22" s="382" t="s">
        <v>1222</v>
      </c>
      <c r="K22" s="382" t="s">
        <v>1232</v>
      </c>
      <c r="L22" s="382"/>
      <c r="M22" s="382" t="s">
        <v>505</v>
      </c>
      <c r="N22" s="382"/>
      <c r="O22" s="382" t="s">
        <v>1222</v>
      </c>
      <c r="P22" s="382" t="s">
        <v>1232</v>
      </c>
      <c r="Q22" s="382" t="s">
        <v>317</v>
      </c>
      <c r="R22" s="382"/>
      <c r="S22" s="382"/>
      <c r="T22" s="397">
        <v>1</v>
      </c>
      <c r="U22" s="397">
        <v>1</v>
      </c>
      <c r="V22" s="397"/>
      <c r="X22" s="348" t="e">
        <v>#REF!</v>
      </c>
      <c r="Y22" s="348" t="e">
        <v>#REF!</v>
      </c>
      <c r="Z22" s="348" t="e">
        <v>#REF!</v>
      </c>
      <c r="AA22" s="400"/>
    </row>
    <row r="23" spans="1:28">
      <c r="A23" s="370" t="s">
        <v>1235</v>
      </c>
      <c r="B23" s="371" t="s">
        <v>1234</v>
      </c>
      <c r="C23" s="436"/>
      <c r="D23" s="380" t="s">
        <v>126</v>
      </c>
      <c r="E23" s="381" t="s">
        <v>1235</v>
      </c>
      <c r="F23" s="382" t="s">
        <v>1235</v>
      </c>
      <c r="G23" s="382"/>
      <c r="H23" s="382" t="s">
        <v>1234</v>
      </c>
      <c r="I23" s="382"/>
      <c r="J23" s="382" t="s">
        <v>139</v>
      </c>
      <c r="K23" s="382" t="s">
        <v>139</v>
      </c>
      <c r="L23" s="382"/>
      <c r="M23" s="382" t="s">
        <v>139</v>
      </c>
      <c r="N23" s="382"/>
      <c r="O23" s="382" t="s">
        <v>1235</v>
      </c>
      <c r="P23" s="382" t="s">
        <v>1235</v>
      </c>
      <c r="Q23" s="382" t="s">
        <v>1223</v>
      </c>
      <c r="R23" s="382"/>
      <c r="S23" s="382"/>
      <c r="T23" s="397">
        <v>1</v>
      </c>
      <c r="U23" s="397">
        <v>1</v>
      </c>
      <c r="V23" s="397"/>
      <c r="W23" s="398" t="s">
        <v>1231</v>
      </c>
      <c r="X23" s="348" t="e">
        <v>#REF!</v>
      </c>
      <c r="Y23" s="348" t="e">
        <v>#REF!</v>
      </c>
      <c r="Z23" s="348" t="e">
        <v>#REF!</v>
      </c>
      <c r="AA23" s="400"/>
    </row>
    <row r="24" spans="1:28">
      <c r="A24" s="370" t="s">
        <v>1232</v>
      </c>
      <c r="B24" s="371" t="s">
        <v>1234</v>
      </c>
      <c r="C24" s="436"/>
      <c r="D24" s="380" t="s">
        <v>1053</v>
      </c>
      <c r="E24" s="381" t="s">
        <v>1222</v>
      </c>
      <c r="F24" s="382" t="s">
        <v>1232</v>
      </c>
      <c r="G24" s="382"/>
      <c r="H24" s="382" t="s">
        <v>1234</v>
      </c>
      <c r="I24" s="382"/>
      <c r="J24" s="382" t="s">
        <v>139</v>
      </c>
      <c r="K24" s="382" t="s">
        <v>139</v>
      </c>
      <c r="L24" s="382"/>
      <c r="M24" s="382" t="s">
        <v>139</v>
      </c>
      <c r="N24" s="382"/>
      <c r="O24" s="382" t="s">
        <v>1222</v>
      </c>
      <c r="P24" s="382" t="s">
        <v>1232</v>
      </c>
      <c r="Q24" s="382" t="s">
        <v>1229</v>
      </c>
      <c r="R24" s="382"/>
      <c r="S24" s="382"/>
      <c r="T24" s="397">
        <v>1</v>
      </c>
      <c r="U24" s="397">
        <v>1</v>
      </c>
      <c r="V24" s="398"/>
      <c r="W24" s="399"/>
      <c r="X24" s="348" t="e">
        <v>#REF!</v>
      </c>
      <c r="Y24" s="348" t="e">
        <v>#REF!</v>
      </c>
      <c r="Z24" s="348" t="e">
        <v>#REF!</v>
      </c>
      <c r="AA24" s="400"/>
    </row>
    <row r="25" spans="1:28">
      <c r="A25" s="370" t="s">
        <v>1235</v>
      </c>
      <c r="B25" s="371" t="s">
        <v>1234</v>
      </c>
      <c r="C25" s="438"/>
      <c r="D25" s="380" t="s">
        <v>1298</v>
      </c>
      <c r="E25" s="381" t="s">
        <v>1235</v>
      </c>
      <c r="F25" s="382" t="s">
        <v>1235</v>
      </c>
      <c r="G25" s="382"/>
      <c r="H25" s="382" t="s">
        <v>1234</v>
      </c>
      <c r="I25" s="382"/>
      <c r="J25" s="382" t="s">
        <v>1235</v>
      </c>
      <c r="K25" s="382" t="s">
        <v>1235</v>
      </c>
      <c r="L25" s="382"/>
      <c r="M25" s="382" t="s">
        <v>1234</v>
      </c>
      <c r="N25" s="382"/>
      <c r="O25" s="382" t="s">
        <v>1235</v>
      </c>
      <c r="P25" s="382" t="s">
        <v>1235</v>
      </c>
      <c r="Q25" s="382" t="s">
        <v>317</v>
      </c>
      <c r="R25" s="382"/>
      <c r="S25" s="382"/>
      <c r="T25" s="397">
        <v>1</v>
      </c>
      <c r="U25" s="397">
        <v>1</v>
      </c>
      <c r="V25" s="398"/>
      <c r="W25" s="399"/>
      <c r="X25" s="348" t="e">
        <v>#REF!</v>
      </c>
      <c r="Y25" s="348" t="e">
        <v>#REF!</v>
      </c>
      <c r="Z25" s="348" t="e">
        <v>#REF!</v>
      </c>
      <c r="AA25" s="400"/>
    </row>
    <row r="26" spans="1:28">
      <c r="A26" s="370" t="s">
        <v>1240</v>
      </c>
      <c r="B26" s="371" t="s">
        <v>1234</v>
      </c>
      <c r="C26" s="436"/>
      <c r="D26" s="380" t="s">
        <v>1055</v>
      </c>
      <c r="E26" s="381" t="s">
        <v>1235</v>
      </c>
      <c r="F26" s="382" t="s">
        <v>1240</v>
      </c>
      <c r="G26" s="382"/>
      <c r="H26" s="382" t="s">
        <v>1291</v>
      </c>
      <c r="I26" s="382"/>
      <c r="J26" s="382" t="s">
        <v>139</v>
      </c>
      <c r="K26" s="382" t="s">
        <v>139</v>
      </c>
      <c r="L26" s="382"/>
      <c r="M26" s="382" t="s">
        <v>139</v>
      </c>
      <c r="N26" s="382"/>
      <c r="O26" s="382" t="s">
        <v>1258</v>
      </c>
      <c r="P26" s="382" t="s">
        <v>1294</v>
      </c>
      <c r="Q26" s="382" t="s">
        <v>317</v>
      </c>
      <c r="R26" s="382"/>
      <c r="S26" s="382"/>
      <c r="T26" s="397" t="s">
        <v>1236</v>
      </c>
      <c r="U26" s="397" t="s">
        <v>1236</v>
      </c>
      <c r="V26" s="440" t="s">
        <v>1299</v>
      </c>
      <c r="W26" s="398" t="s">
        <v>1231</v>
      </c>
      <c r="X26" s="348" t="e">
        <v>#REF!</v>
      </c>
      <c r="Y26" s="348" t="e">
        <v>#REF!</v>
      </c>
      <c r="Z26" s="348" t="e">
        <v>#REF!</v>
      </c>
      <c r="AA26" s="400"/>
    </row>
    <row r="27" spans="1:28">
      <c r="A27" s="370"/>
      <c r="B27" s="371"/>
      <c r="C27" s="436"/>
      <c r="D27" s="380" t="s">
        <v>1056</v>
      </c>
      <c r="E27" s="381" t="s">
        <v>1235</v>
      </c>
      <c r="F27" s="382" t="s">
        <v>1235</v>
      </c>
      <c r="G27" s="382"/>
      <c r="H27" s="382" t="s">
        <v>1234</v>
      </c>
      <c r="I27" s="382"/>
      <c r="J27" s="382" t="s">
        <v>139</v>
      </c>
      <c r="K27" s="382" t="s">
        <v>139</v>
      </c>
      <c r="L27" s="382"/>
      <c r="M27" s="382" t="s">
        <v>139</v>
      </c>
      <c r="N27" s="382"/>
      <c r="O27" s="382" t="s">
        <v>1235</v>
      </c>
      <c r="P27" s="382" t="s">
        <v>1235</v>
      </c>
      <c r="Q27" s="382" t="s">
        <v>145</v>
      </c>
      <c r="R27" s="382"/>
      <c r="S27" s="382"/>
      <c r="T27" s="397"/>
      <c r="U27" s="397"/>
      <c r="V27" s="440"/>
      <c r="X27" s="348"/>
      <c r="Y27" s="348"/>
      <c r="Z27" s="348"/>
      <c r="AA27" s="400"/>
    </row>
    <row r="28" spans="1:28">
      <c r="A28" s="370" t="s">
        <v>1235</v>
      </c>
      <c r="B28" s="371" t="s">
        <v>505</v>
      </c>
      <c r="C28" s="436"/>
      <c r="D28" s="380" t="s">
        <v>240</v>
      </c>
      <c r="E28" s="381" t="s">
        <v>1235</v>
      </c>
      <c r="F28" s="382" t="s">
        <v>1235</v>
      </c>
      <c r="G28" s="382"/>
      <c r="H28" s="382" t="s">
        <v>505</v>
      </c>
      <c r="I28" s="382"/>
      <c r="J28" s="382" t="s">
        <v>139</v>
      </c>
      <c r="K28" s="382" t="s">
        <v>139</v>
      </c>
      <c r="L28" s="382"/>
      <c r="M28" s="382" t="s">
        <v>139</v>
      </c>
      <c r="N28" s="382"/>
      <c r="O28" s="382" t="s">
        <v>1235</v>
      </c>
      <c r="P28" s="382" t="s">
        <v>1235</v>
      </c>
      <c r="Q28" s="382" t="s">
        <v>317</v>
      </c>
      <c r="R28" s="382"/>
      <c r="S28" s="382"/>
      <c r="T28" s="397">
        <v>1</v>
      </c>
      <c r="U28" s="397">
        <v>1</v>
      </c>
      <c r="V28" s="440" t="s">
        <v>1300</v>
      </c>
      <c r="X28" s="348" t="e">
        <v>#REF!</v>
      </c>
      <c r="Y28" s="348" t="e">
        <v>#REF!</v>
      </c>
      <c r="Z28" s="348" t="e">
        <v>#REF!</v>
      </c>
      <c r="AA28" s="400"/>
    </row>
    <row r="29" spans="1:28">
      <c r="A29" s="370" t="s">
        <v>1232</v>
      </c>
      <c r="B29" s="371" t="s">
        <v>1234</v>
      </c>
      <c r="C29" s="436"/>
      <c r="D29" s="380" t="s">
        <v>1057</v>
      </c>
      <c r="E29" s="381" t="s">
        <v>1222</v>
      </c>
      <c r="F29" s="382" t="s">
        <v>1232</v>
      </c>
      <c r="G29" s="382"/>
      <c r="H29" s="382" t="s">
        <v>1234</v>
      </c>
      <c r="I29" s="382"/>
      <c r="J29" s="382" t="s">
        <v>1222</v>
      </c>
      <c r="K29" s="382" t="s">
        <v>1232</v>
      </c>
      <c r="L29" s="382"/>
      <c r="M29" s="382" t="s">
        <v>1234</v>
      </c>
      <c r="N29" s="382"/>
      <c r="O29" s="382" t="s">
        <v>1222</v>
      </c>
      <c r="P29" s="382" t="s">
        <v>1232</v>
      </c>
      <c r="Q29" s="382" t="s">
        <v>317</v>
      </c>
      <c r="R29" s="382"/>
      <c r="S29" s="382"/>
      <c r="T29" s="397">
        <v>1</v>
      </c>
      <c r="U29" s="397">
        <v>1</v>
      </c>
      <c r="V29" s="397"/>
      <c r="W29" s="398" t="s">
        <v>1231</v>
      </c>
      <c r="X29" s="348" t="e">
        <v>#REF!</v>
      </c>
      <c r="Y29" s="348" t="e">
        <v>#REF!</v>
      </c>
      <c r="Z29" s="348" t="e">
        <v>#REF!</v>
      </c>
      <c r="AA29" s="400"/>
    </row>
    <row r="30" spans="1:28" s="349" customFormat="1">
      <c r="A30" s="370" t="s">
        <v>1267</v>
      </c>
      <c r="B30" s="371" t="s">
        <v>505</v>
      </c>
      <c r="C30" s="436"/>
      <c r="D30" s="380" t="s">
        <v>1058</v>
      </c>
      <c r="E30" s="381" t="s">
        <v>1235</v>
      </c>
      <c r="F30" s="382" t="s">
        <v>1267</v>
      </c>
      <c r="G30" s="382"/>
      <c r="H30" s="382" t="s">
        <v>505</v>
      </c>
      <c r="I30" s="382"/>
      <c r="J30" s="382" t="s">
        <v>1235</v>
      </c>
      <c r="K30" s="382" t="s">
        <v>1267</v>
      </c>
      <c r="L30" s="382"/>
      <c r="M30" s="382" t="s">
        <v>505</v>
      </c>
      <c r="N30" s="382"/>
      <c r="O30" s="382" t="s">
        <v>1235</v>
      </c>
      <c r="P30" s="382" t="s">
        <v>1267</v>
      </c>
      <c r="Q30" s="382" t="s">
        <v>317</v>
      </c>
      <c r="R30" s="382"/>
      <c r="S30" s="382"/>
      <c r="T30" s="397">
        <v>1</v>
      </c>
      <c r="U30" s="397">
        <v>1</v>
      </c>
      <c r="V30" s="397"/>
      <c r="W30" s="398"/>
      <c r="X30" s="348" t="e">
        <v>#REF!</v>
      </c>
      <c r="Y30" s="348" t="e">
        <v>#REF!</v>
      </c>
      <c r="Z30" s="348" t="e">
        <v>#REF!</v>
      </c>
      <c r="AA30" s="400"/>
      <c r="AB30" s="345"/>
    </row>
    <row r="31" spans="1:28">
      <c r="A31" s="370" t="s">
        <v>1292</v>
      </c>
      <c r="B31" s="371" t="s">
        <v>1234</v>
      </c>
      <c r="C31" s="441"/>
      <c r="D31" s="380" t="s">
        <v>1301</v>
      </c>
      <c r="E31" s="381" t="s">
        <v>1258</v>
      </c>
      <c r="F31" s="382" t="s">
        <v>1292</v>
      </c>
      <c r="G31" s="382"/>
      <c r="H31" s="382" t="s">
        <v>1234</v>
      </c>
      <c r="I31" s="382"/>
      <c r="J31" s="382" t="s">
        <v>139</v>
      </c>
      <c r="K31" s="382" t="s">
        <v>139</v>
      </c>
      <c r="L31" s="382"/>
      <c r="M31" s="382" t="s">
        <v>139</v>
      </c>
      <c r="N31" s="382"/>
      <c r="O31" s="382" t="s">
        <v>1258</v>
      </c>
      <c r="P31" s="382" t="s">
        <v>1292</v>
      </c>
      <c r="Q31" s="382" t="s">
        <v>1229</v>
      </c>
      <c r="R31" s="382"/>
      <c r="S31" s="382"/>
      <c r="T31" s="397">
        <v>1</v>
      </c>
      <c r="U31" s="397">
        <v>1</v>
      </c>
      <c r="V31" s="397"/>
      <c r="X31" s="348" t="e">
        <v>#REF!</v>
      </c>
      <c r="Y31" s="348" t="e">
        <v>#REF!</v>
      </c>
      <c r="Z31" s="348" t="e">
        <v>#REF!</v>
      </c>
      <c r="AA31" s="400"/>
    </row>
    <row r="32" spans="1:28">
      <c r="A32" s="370" t="s">
        <v>1235</v>
      </c>
      <c r="B32" s="371" t="s">
        <v>1234</v>
      </c>
      <c r="C32" s="436"/>
      <c r="D32" s="380" t="s">
        <v>242</v>
      </c>
      <c r="E32" s="381" t="s">
        <v>1235</v>
      </c>
      <c r="F32" s="382" t="s">
        <v>1235</v>
      </c>
      <c r="G32" s="382"/>
      <c r="H32" s="382" t="s">
        <v>1234</v>
      </c>
      <c r="I32" s="382"/>
      <c r="J32" s="382" t="s">
        <v>1235</v>
      </c>
      <c r="K32" s="382" t="s">
        <v>1235</v>
      </c>
      <c r="L32" s="382"/>
      <c r="M32" s="382" t="s">
        <v>1234</v>
      </c>
      <c r="N32" s="382"/>
      <c r="O32" s="382" t="s">
        <v>1235</v>
      </c>
      <c r="P32" s="382" t="s">
        <v>1235</v>
      </c>
      <c r="Q32" s="382" t="s">
        <v>1229</v>
      </c>
      <c r="R32" s="382"/>
      <c r="S32" s="382"/>
      <c r="T32" s="397">
        <v>1</v>
      </c>
      <c r="U32" s="397">
        <v>1</v>
      </c>
      <c r="V32" s="397"/>
      <c r="W32" s="398" t="s">
        <v>1231</v>
      </c>
      <c r="X32" s="348" t="e">
        <v>#REF!</v>
      </c>
      <c r="Y32" s="348" t="e">
        <v>#REF!</v>
      </c>
      <c r="Z32" s="348" t="e">
        <v>#REF!</v>
      </c>
      <c r="AA32" s="400"/>
    </row>
    <row r="33" spans="1:28">
      <c r="A33" s="370" t="s">
        <v>1232</v>
      </c>
      <c r="B33" s="371" t="s">
        <v>1234</v>
      </c>
      <c r="C33" s="436"/>
      <c r="D33" s="380" t="s">
        <v>1060</v>
      </c>
      <c r="E33" s="381" t="s">
        <v>1222</v>
      </c>
      <c r="F33" s="382" t="s">
        <v>1232</v>
      </c>
      <c r="G33" s="382"/>
      <c r="H33" s="382" t="s">
        <v>1234</v>
      </c>
      <c r="I33" s="382"/>
      <c r="J33" s="382" t="s">
        <v>1222</v>
      </c>
      <c r="K33" s="382" t="s">
        <v>1232</v>
      </c>
      <c r="L33" s="382"/>
      <c r="M33" s="382" t="s">
        <v>1234</v>
      </c>
      <c r="N33" s="382"/>
      <c r="O33" s="382" t="s">
        <v>1222</v>
      </c>
      <c r="P33" s="382" t="s">
        <v>1232</v>
      </c>
      <c r="Q33" s="382" t="s">
        <v>317</v>
      </c>
      <c r="R33" s="382"/>
      <c r="S33" s="382"/>
      <c r="T33" s="397">
        <v>1</v>
      </c>
      <c r="U33" s="397">
        <v>1</v>
      </c>
      <c r="V33" s="397"/>
      <c r="W33" s="398" t="s">
        <v>1231</v>
      </c>
      <c r="X33" s="348" t="e">
        <v>#REF!</v>
      </c>
      <c r="Y33" s="348" t="e">
        <v>#REF!</v>
      </c>
      <c r="Z33" s="348" t="e">
        <v>#REF!</v>
      </c>
      <c r="AA33" s="400"/>
      <c r="AB33" s="349"/>
    </row>
    <row r="34" spans="1:28">
      <c r="A34" s="370" t="s">
        <v>1235</v>
      </c>
      <c r="B34" s="371" t="s">
        <v>1221</v>
      </c>
      <c r="C34" s="436"/>
      <c r="D34" s="380" t="s">
        <v>1061</v>
      </c>
      <c r="E34" s="381" t="s">
        <v>1235</v>
      </c>
      <c r="F34" s="382" t="s">
        <v>1235</v>
      </c>
      <c r="G34" s="382"/>
      <c r="H34" s="382" t="s">
        <v>1221</v>
      </c>
      <c r="I34" s="382"/>
      <c r="J34" s="382" t="s">
        <v>139</v>
      </c>
      <c r="K34" s="382" t="s">
        <v>139</v>
      </c>
      <c r="L34" s="382"/>
      <c r="M34" s="382" t="s">
        <v>139</v>
      </c>
      <c r="N34" s="382"/>
      <c r="O34" s="382" t="s">
        <v>1235</v>
      </c>
      <c r="P34" s="382" t="s">
        <v>1235</v>
      </c>
      <c r="Q34" s="382" t="s">
        <v>317</v>
      </c>
      <c r="R34" s="382"/>
      <c r="S34" s="382"/>
      <c r="T34" s="397">
        <v>1</v>
      </c>
      <c r="U34" s="397">
        <v>1</v>
      </c>
      <c r="V34" s="397"/>
      <c r="X34" s="348" t="e">
        <v>#REF!</v>
      </c>
      <c r="Y34" s="348" t="e">
        <v>#REF!</v>
      </c>
      <c r="Z34" s="348" t="e">
        <v>#REF!</v>
      </c>
      <c r="AA34" s="400"/>
    </row>
    <row r="35" spans="1:28">
      <c r="A35" s="370" t="s">
        <v>1241</v>
      </c>
      <c r="B35" s="371" t="s">
        <v>1234</v>
      </c>
      <c r="C35" s="436"/>
      <c r="D35" s="380" t="s">
        <v>127</v>
      </c>
      <c r="E35" s="381" t="s">
        <v>1222</v>
      </c>
      <c r="F35" s="382" t="s">
        <v>1241</v>
      </c>
      <c r="G35" s="382"/>
      <c r="H35" s="382" t="s">
        <v>1234</v>
      </c>
      <c r="I35" s="382"/>
      <c r="J35" s="382" t="s">
        <v>139</v>
      </c>
      <c r="K35" s="382" t="s">
        <v>139</v>
      </c>
      <c r="L35" s="382"/>
      <c r="M35" s="382" t="s">
        <v>139</v>
      </c>
      <c r="N35" s="382"/>
      <c r="O35" s="382" t="s">
        <v>1222</v>
      </c>
      <c r="P35" s="382" t="s">
        <v>1241</v>
      </c>
      <c r="Q35" s="382" t="s">
        <v>1223</v>
      </c>
      <c r="R35" s="382"/>
      <c r="S35" s="382"/>
      <c r="T35" s="397">
        <v>1</v>
      </c>
      <c r="U35" s="397">
        <v>1</v>
      </c>
      <c r="V35" s="397"/>
      <c r="W35" s="398" t="s">
        <v>1231</v>
      </c>
      <c r="X35" s="348" t="e">
        <v>#REF!</v>
      </c>
      <c r="Y35" s="348" t="e">
        <v>#REF!</v>
      </c>
      <c r="Z35" s="348" t="e">
        <v>#REF!</v>
      </c>
      <c r="AA35" s="400"/>
    </row>
    <row r="36" spans="1:28">
      <c r="A36" s="370" t="s">
        <v>1235</v>
      </c>
      <c r="B36" s="371" t="s">
        <v>1234</v>
      </c>
      <c r="C36" s="436"/>
      <c r="D36" s="380" t="s">
        <v>1062</v>
      </c>
      <c r="E36" s="381" t="s">
        <v>1235</v>
      </c>
      <c r="F36" s="382" t="s">
        <v>1235</v>
      </c>
      <c r="G36" s="382"/>
      <c r="H36" s="382" t="s">
        <v>1234</v>
      </c>
      <c r="I36" s="382"/>
      <c r="J36" s="382" t="s">
        <v>139</v>
      </c>
      <c r="K36" s="382" t="s">
        <v>139</v>
      </c>
      <c r="L36" s="382"/>
      <c r="M36" s="382" t="s">
        <v>139</v>
      </c>
      <c r="N36" s="382"/>
      <c r="O36" s="382" t="s">
        <v>1235</v>
      </c>
      <c r="P36" s="382" t="s">
        <v>1235</v>
      </c>
      <c r="Q36" s="382" t="s">
        <v>1229</v>
      </c>
      <c r="R36" s="382"/>
      <c r="S36" s="382"/>
      <c r="T36" s="397">
        <v>1</v>
      </c>
      <c r="U36" s="397">
        <v>1</v>
      </c>
      <c r="V36" s="397"/>
      <c r="X36" s="348" t="e">
        <v>#REF!</v>
      </c>
      <c r="Y36" s="348" t="e">
        <v>#REF!</v>
      </c>
      <c r="Z36" s="348" t="e">
        <v>#REF!</v>
      </c>
      <c r="AA36" s="400"/>
    </row>
    <row r="37" spans="1:28">
      <c r="A37" s="370" t="s">
        <v>1240</v>
      </c>
      <c r="B37" s="371" t="s">
        <v>505</v>
      </c>
      <c r="C37" s="436"/>
      <c r="D37" s="380" t="s">
        <v>1063</v>
      </c>
      <c r="E37" s="381" t="s">
        <v>1222</v>
      </c>
      <c r="F37" s="382" t="s">
        <v>1240</v>
      </c>
      <c r="G37" s="382"/>
      <c r="H37" s="382" t="s">
        <v>505</v>
      </c>
      <c r="I37" s="382"/>
      <c r="J37" s="382" t="s">
        <v>139</v>
      </c>
      <c r="K37" s="382" t="s">
        <v>139</v>
      </c>
      <c r="L37" s="382"/>
      <c r="M37" s="382" t="s">
        <v>139</v>
      </c>
      <c r="N37" s="382"/>
      <c r="O37" s="382" t="s">
        <v>1235</v>
      </c>
      <c r="P37" s="382" t="s">
        <v>1235</v>
      </c>
      <c r="Q37" s="382" t="s">
        <v>317</v>
      </c>
      <c r="R37" s="382"/>
      <c r="S37" s="382"/>
      <c r="T37" s="397">
        <v>1</v>
      </c>
      <c r="U37" s="397">
        <v>1</v>
      </c>
      <c r="V37" s="398"/>
      <c r="W37" s="399" t="s">
        <v>1231</v>
      </c>
      <c r="X37" s="348" t="e">
        <v>#REF!</v>
      </c>
      <c r="Y37" s="348" t="e">
        <v>#REF!</v>
      </c>
      <c r="Z37" s="348" t="e">
        <v>#REF!</v>
      </c>
      <c r="AA37" s="400"/>
    </row>
    <row r="38" spans="1:28">
      <c r="A38" s="370" t="s">
        <v>1235</v>
      </c>
      <c r="B38" s="371" t="s">
        <v>1234</v>
      </c>
      <c r="C38" s="438"/>
      <c r="D38" s="380" t="s">
        <v>237</v>
      </c>
      <c r="E38" s="381" t="s">
        <v>1235</v>
      </c>
      <c r="F38" s="382" t="s">
        <v>1235</v>
      </c>
      <c r="G38" s="382"/>
      <c r="H38" s="382" t="s">
        <v>1234</v>
      </c>
      <c r="I38" s="382"/>
      <c r="J38" s="382" t="s">
        <v>145</v>
      </c>
      <c r="K38" s="382" t="s">
        <v>145</v>
      </c>
      <c r="L38" s="382"/>
      <c r="M38" s="382" t="s">
        <v>145</v>
      </c>
      <c r="N38" s="382"/>
      <c r="O38" s="382" t="s">
        <v>1261</v>
      </c>
      <c r="P38" s="382" t="s">
        <v>1302</v>
      </c>
      <c r="Q38" s="382" t="s">
        <v>317</v>
      </c>
      <c r="R38" s="382"/>
      <c r="S38" s="382"/>
      <c r="T38" s="397">
        <v>1</v>
      </c>
      <c r="U38" s="397">
        <v>1</v>
      </c>
      <c r="V38" s="398"/>
      <c r="W38" s="399"/>
      <c r="X38" s="348" t="e">
        <v>#REF!</v>
      </c>
      <c r="Y38" s="348" t="e">
        <v>#REF!</v>
      </c>
      <c r="Z38" s="348" t="e">
        <v>#REF!</v>
      </c>
      <c r="AA38" s="400"/>
    </row>
    <row r="39" spans="1:28">
      <c r="A39" s="370" t="s">
        <v>1235</v>
      </c>
      <c r="B39" s="371" t="s">
        <v>505</v>
      </c>
      <c r="C39" s="436"/>
      <c r="D39" s="380" t="s">
        <v>1064</v>
      </c>
      <c r="E39" s="381" t="s">
        <v>1235</v>
      </c>
      <c r="F39" s="382" t="s">
        <v>1235</v>
      </c>
      <c r="G39" s="382"/>
      <c r="H39" s="382" t="s">
        <v>505</v>
      </c>
      <c r="I39" s="382"/>
      <c r="J39" s="382" t="s">
        <v>139</v>
      </c>
      <c r="K39" s="382" t="s">
        <v>139</v>
      </c>
      <c r="L39" s="382"/>
      <c r="M39" s="382" t="s">
        <v>139</v>
      </c>
      <c r="N39" s="382"/>
      <c r="O39" s="382" t="s">
        <v>1235</v>
      </c>
      <c r="P39" s="382" t="s">
        <v>1235</v>
      </c>
      <c r="Q39" s="382" t="s">
        <v>317</v>
      </c>
      <c r="R39" s="382"/>
      <c r="S39" s="382"/>
      <c r="T39" s="397">
        <v>1</v>
      </c>
      <c r="U39" s="397">
        <v>1</v>
      </c>
      <c r="V39" s="397"/>
      <c r="X39" s="348" t="e">
        <v>#REF!</v>
      </c>
      <c r="Y39" s="348" t="e">
        <v>#REF!</v>
      </c>
      <c r="Z39" s="348" t="e">
        <v>#REF!</v>
      </c>
      <c r="AA39" s="400"/>
    </row>
    <row r="40" spans="1:28">
      <c r="A40" s="370" t="s">
        <v>1232</v>
      </c>
      <c r="B40" s="371" t="s">
        <v>1234</v>
      </c>
      <c r="C40" s="436"/>
      <c r="D40" s="380" t="s">
        <v>1065</v>
      </c>
      <c r="E40" s="381" t="s">
        <v>1222</v>
      </c>
      <c r="F40" s="382" t="s">
        <v>1232</v>
      </c>
      <c r="G40" s="382"/>
      <c r="H40" s="382" t="s">
        <v>1234</v>
      </c>
      <c r="I40" s="382"/>
      <c r="J40" s="382" t="s">
        <v>139</v>
      </c>
      <c r="K40" s="382" t="s">
        <v>139</v>
      </c>
      <c r="L40" s="382"/>
      <c r="M40" s="382" t="s">
        <v>139</v>
      </c>
      <c r="N40" s="382"/>
      <c r="O40" s="382" t="s">
        <v>1222</v>
      </c>
      <c r="P40" s="382" t="s">
        <v>1232</v>
      </c>
      <c r="Q40" s="382" t="s">
        <v>317</v>
      </c>
      <c r="R40" s="382"/>
      <c r="S40" s="382"/>
      <c r="T40" s="397">
        <v>1</v>
      </c>
      <c r="U40" s="397">
        <v>1</v>
      </c>
      <c r="V40" s="397"/>
      <c r="X40" s="348" t="e">
        <v>#REF!</v>
      </c>
      <c r="Y40" s="348" t="e">
        <v>#REF!</v>
      </c>
      <c r="Z40" s="348" t="e">
        <v>#REF!</v>
      </c>
      <c r="AA40" s="400"/>
    </row>
    <row r="41" spans="1:28">
      <c r="A41" s="370" t="s">
        <v>1240</v>
      </c>
      <c r="B41" s="371" t="s">
        <v>1234</v>
      </c>
      <c r="C41" s="436"/>
      <c r="D41" s="380" t="s">
        <v>1066</v>
      </c>
      <c r="E41" s="381" t="s">
        <v>1235</v>
      </c>
      <c r="F41" s="382" t="s">
        <v>1240</v>
      </c>
      <c r="G41" s="382"/>
      <c r="H41" s="382" t="s">
        <v>1234</v>
      </c>
      <c r="I41" s="382"/>
      <c r="J41" s="382" t="s">
        <v>139</v>
      </c>
      <c r="K41" s="382" t="s">
        <v>139</v>
      </c>
      <c r="L41" s="382"/>
      <c r="M41" s="382" t="s">
        <v>139</v>
      </c>
      <c r="N41" s="382"/>
      <c r="O41" s="382" t="s">
        <v>1235</v>
      </c>
      <c r="P41" s="382" t="s">
        <v>1240</v>
      </c>
      <c r="Q41" s="382" t="s">
        <v>317</v>
      </c>
      <c r="R41" s="382"/>
      <c r="S41" s="382"/>
      <c r="T41" s="397">
        <v>1</v>
      </c>
      <c r="U41" s="397">
        <v>1</v>
      </c>
      <c r="V41" s="397"/>
      <c r="W41" s="398" t="s">
        <v>1231</v>
      </c>
      <c r="X41" s="348" t="e">
        <v>#REF!</v>
      </c>
      <c r="Y41" s="348" t="e">
        <v>#REF!</v>
      </c>
      <c r="Z41" s="348" t="e">
        <v>#REF!</v>
      </c>
      <c r="AA41" s="400"/>
    </row>
    <row r="42" spans="1:28">
      <c r="A42" s="370" t="s">
        <v>1235</v>
      </c>
      <c r="B42" s="371" t="s">
        <v>1234</v>
      </c>
      <c r="C42" s="436"/>
      <c r="D42" s="380" t="s">
        <v>243</v>
      </c>
      <c r="E42" s="381" t="s">
        <v>1235</v>
      </c>
      <c r="F42" s="382" t="s">
        <v>1235</v>
      </c>
      <c r="G42" s="382"/>
      <c r="H42" s="382" t="s">
        <v>1234</v>
      </c>
      <c r="I42" s="382"/>
      <c r="J42" s="382" t="s">
        <v>139</v>
      </c>
      <c r="K42" s="382" t="s">
        <v>139</v>
      </c>
      <c r="L42" s="382"/>
      <c r="M42" s="382" t="s">
        <v>139</v>
      </c>
      <c r="N42" s="382"/>
      <c r="O42" s="382" t="s">
        <v>1235</v>
      </c>
      <c r="P42" s="382" t="s">
        <v>1235</v>
      </c>
      <c r="Q42" s="382" t="s">
        <v>317</v>
      </c>
      <c r="R42" s="382"/>
      <c r="S42" s="382"/>
      <c r="T42" s="397">
        <v>1</v>
      </c>
      <c r="U42" s="397">
        <v>1</v>
      </c>
      <c r="V42" s="397"/>
      <c r="X42" s="348" t="e">
        <v>#REF!</v>
      </c>
      <c r="Y42" s="348" t="e">
        <v>#REF!</v>
      </c>
      <c r="Z42" s="348" t="e">
        <v>#REF!</v>
      </c>
      <c r="AA42" s="400"/>
    </row>
    <row r="43" spans="1:28">
      <c r="A43" s="370" t="s">
        <v>1228</v>
      </c>
      <c r="B43" s="371" t="s">
        <v>1234</v>
      </c>
      <c r="C43" s="436"/>
      <c r="D43" s="380" t="s">
        <v>1303</v>
      </c>
      <c r="E43" s="381" t="s">
        <v>1222</v>
      </c>
      <c r="F43" s="382" t="s">
        <v>1228</v>
      </c>
      <c r="G43" s="382"/>
      <c r="H43" s="382" t="s">
        <v>1234</v>
      </c>
      <c r="I43" s="382"/>
      <c r="J43" s="382" t="s">
        <v>139</v>
      </c>
      <c r="K43" s="382" t="s">
        <v>139</v>
      </c>
      <c r="L43" s="382"/>
      <c r="M43" s="382" t="s">
        <v>139</v>
      </c>
      <c r="N43" s="382"/>
      <c r="O43" s="382" t="s">
        <v>1222</v>
      </c>
      <c r="P43" s="382" t="s">
        <v>1228</v>
      </c>
      <c r="Q43" s="382" t="s">
        <v>317</v>
      </c>
      <c r="R43" s="382"/>
      <c r="S43" s="382"/>
      <c r="T43" s="397">
        <v>1</v>
      </c>
      <c r="U43" s="397">
        <v>1</v>
      </c>
      <c r="V43" s="397"/>
      <c r="W43" s="398" t="s">
        <v>1231</v>
      </c>
      <c r="X43" s="348" t="e">
        <v>#REF!</v>
      </c>
      <c r="Y43" s="348" t="e">
        <v>#REF!</v>
      </c>
      <c r="Z43" s="348" t="e">
        <v>#REF!</v>
      </c>
      <c r="AA43" s="400"/>
    </row>
    <row r="44" spans="1:28">
      <c r="A44" s="370" t="s">
        <v>1241</v>
      </c>
      <c r="B44" s="371" t="s">
        <v>1234</v>
      </c>
      <c r="C44" s="436"/>
      <c r="D44" s="380" t="s">
        <v>128</v>
      </c>
      <c r="E44" s="381" t="s">
        <v>1222</v>
      </c>
      <c r="F44" s="382" t="s">
        <v>1241</v>
      </c>
      <c r="G44" s="382"/>
      <c r="H44" s="382" t="s">
        <v>1234</v>
      </c>
      <c r="I44" s="382"/>
      <c r="J44" s="382" t="s">
        <v>1222</v>
      </c>
      <c r="K44" s="382" t="s">
        <v>1241</v>
      </c>
      <c r="L44" s="382"/>
      <c r="M44" s="382" t="s">
        <v>1234</v>
      </c>
      <c r="N44" s="382"/>
      <c r="O44" s="382" t="s">
        <v>1222</v>
      </c>
      <c r="P44" s="382" t="s">
        <v>1241</v>
      </c>
      <c r="Q44" s="382" t="s">
        <v>317</v>
      </c>
      <c r="R44" s="382"/>
      <c r="S44" s="382"/>
      <c r="T44" s="397">
        <v>1</v>
      </c>
      <c r="U44" s="397">
        <v>1</v>
      </c>
      <c r="V44" s="397"/>
      <c r="W44" s="398" t="s">
        <v>1231</v>
      </c>
      <c r="X44" s="348" t="e">
        <v>#REF!</v>
      </c>
      <c r="Y44" s="348" t="e">
        <v>#REF!</v>
      </c>
      <c r="Z44" s="348" t="e">
        <v>#REF!</v>
      </c>
      <c r="AA44" s="400"/>
    </row>
    <row r="45" spans="1:28">
      <c r="A45" s="370" t="s">
        <v>1240</v>
      </c>
      <c r="B45" s="371" t="s">
        <v>1234</v>
      </c>
      <c r="C45" s="438"/>
      <c r="D45" s="380" t="s">
        <v>1068</v>
      </c>
      <c r="E45" s="381" t="s">
        <v>1222</v>
      </c>
      <c r="F45" s="382" t="s">
        <v>1240</v>
      </c>
      <c r="G45" s="382"/>
      <c r="H45" s="382" t="s">
        <v>1234</v>
      </c>
      <c r="I45" s="382"/>
      <c r="J45" s="382" t="s">
        <v>139</v>
      </c>
      <c r="K45" s="382" t="s">
        <v>139</v>
      </c>
      <c r="L45" s="382"/>
      <c r="M45" s="382" t="s">
        <v>139</v>
      </c>
      <c r="N45" s="382"/>
      <c r="O45" s="382" t="s">
        <v>1222</v>
      </c>
      <c r="P45" s="382" t="s">
        <v>1240</v>
      </c>
      <c r="Q45" s="382" t="s">
        <v>317</v>
      </c>
      <c r="R45" s="382"/>
      <c r="S45" s="382"/>
      <c r="T45" s="397">
        <v>1</v>
      </c>
      <c r="U45" s="397">
        <v>1</v>
      </c>
      <c r="V45" s="397"/>
      <c r="X45" s="348" t="e">
        <v>#REF!</v>
      </c>
      <c r="Y45" s="348" t="e">
        <v>#REF!</v>
      </c>
      <c r="Z45" s="348" t="e">
        <v>#REF!</v>
      </c>
      <c r="AA45" s="400"/>
    </row>
    <row r="46" spans="1:28">
      <c r="A46" s="370" t="s">
        <v>1235</v>
      </c>
      <c r="B46" s="371" t="s">
        <v>1234</v>
      </c>
      <c r="C46" s="436"/>
      <c r="D46" s="380" t="s">
        <v>1069</v>
      </c>
      <c r="E46" s="381" t="s">
        <v>1235</v>
      </c>
      <c r="F46" s="382" t="s">
        <v>1235</v>
      </c>
      <c r="G46" s="382"/>
      <c r="H46" s="382" t="s">
        <v>1234</v>
      </c>
      <c r="I46" s="382"/>
      <c r="J46" s="382" t="s">
        <v>139</v>
      </c>
      <c r="K46" s="382" t="s">
        <v>139</v>
      </c>
      <c r="L46" s="382"/>
      <c r="M46" s="382" t="s">
        <v>139</v>
      </c>
      <c r="N46" s="382"/>
      <c r="O46" s="382" t="s">
        <v>1235</v>
      </c>
      <c r="P46" s="382" t="s">
        <v>1235</v>
      </c>
      <c r="Q46" s="382" t="s">
        <v>317</v>
      </c>
      <c r="R46" s="382"/>
      <c r="S46" s="382"/>
      <c r="T46" s="397">
        <v>1</v>
      </c>
      <c r="U46" s="397">
        <v>1</v>
      </c>
      <c r="V46" s="397"/>
      <c r="X46" s="348" t="e">
        <v>#REF!</v>
      </c>
      <c r="Y46" s="348" t="e">
        <v>#REF!</v>
      </c>
      <c r="Z46" s="348" t="e">
        <v>#REF!</v>
      </c>
      <c r="AA46" s="400"/>
    </row>
    <row r="47" spans="1:28">
      <c r="A47" s="370" t="s">
        <v>1235</v>
      </c>
      <c r="B47" s="371" t="s">
        <v>1234</v>
      </c>
      <c r="C47" s="436"/>
      <c r="D47" s="442" t="s">
        <v>1070</v>
      </c>
      <c r="E47" s="443" t="s">
        <v>1235</v>
      </c>
      <c r="F47" s="392" t="s">
        <v>1235</v>
      </c>
      <c r="G47" s="392"/>
      <c r="H47" s="392" t="s">
        <v>1234</v>
      </c>
      <c r="I47" s="392"/>
      <c r="J47" s="392" t="s">
        <v>139</v>
      </c>
      <c r="K47" s="392" t="s">
        <v>139</v>
      </c>
      <c r="L47" s="392"/>
      <c r="M47" s="392" t="s">
        <v>139</v>
      </c>
      <c r="N47" s="392"/>
      <c r="O47" s="392" t="s">
        <v>1235</v>
      </c>
      <c r="P47" s="392" t="s">
        <v>1235</v>
      </c>
      <c r="Q47" s="392" t="s">
        <v>1223</v>
      </c>
      <c r="R47" s="392"/>
      <c r="S47" s="392"/>
      <c r="T47" s="397">
        <v>1</v>
      </c>
      <c r="U47" s="397">
        <v>1</v>
      </c>
      <c r="V47" s="397"/>
      <c r="X47" s="348" t="e">
        <v>#REF!</v>
      </c>
      <c r="Y47" s="348" t="e">
        <v>#REF!</v>
      </c>
      <c r="Z47" s="348" t="e">
        <v>#REF!</v>
      </c>
      <c r="AA47" s="400"/>
    </row>
    <row r="48" spans="1:28" ht="24.75" customHeight="1">
      <c r="D48" s="629" t="s">
        <v>1304</v>
      </c>
      <c r="E48" s="629"/>
      <c r="F48" s="629"/>
      <c r="G48" s="629"/>
      <c r="H48" s="629"/>
      <c r="I48" s="629"/>
      <c r="J48" s="629"/>
      <c r="K48" s="629"/>
      <c r="L48" s="629"/>
      <c r="M48" s="629"/>
      <c r="N48" s="629"/>
      <c r="O48" s="629"/>
      <c r="P48" s="629"/>
      <c r="Q48" s="629"/>
      <c r="R48" s="629"/>
      <c r="S48" s="444"/>
      <c r="T48" s="445"/>
      <c r="U48" s="445"/>
      <c r="V48" s="445"/>
      <c r="W48" s="446"/>
    </row>
    <row r="49" spans="2:19" ht="25.5" customHeight="1">
      <c r="D49" s="628" t="s">
        <v>1305</v>
      </c>
      <c r="E49" s="628"/>
      <c r="F49" s="628"/>
      <c r="G49" s="628"/>
      <c r="H49" s="628"/>
      <c r="I49" s="628"/>
      <c r="J49" s="628"/>
      <c r="K49" s="628"/>
      <c r="L49" s="628"/>
      <c r="M49" s="628"/>
      <c r="N49" s="628"/>
      <c r="O49" s="628"/>
      <c r="P49" s="628"/>
      <c r="Q49" s="628"/>
      <c r="R49" s="628"/>
      <c r="S49" s="447"/>
    </row>
    <row r="50" spans="2:19" ht="51.75" customHeight="1">
      <c r="D50" s="629" t="s">
        <v>1282</v>
      </c>
      <c r="E50" s="629"/>
      <c r="F50" s="629"/>
      <c r="G50" s="629"/>
      <c r="H50" s="629"/>
      <c r="I50" s="629"/>
      <c r="J50" s="629"/>
      <c r="K50" s="629"/>
      <c r="L50" s="629"/>
      <c r="M50" s="629"/>
      <c r="N50" s="629"/>
      <c r="O50" s="629"/>
      <c r="P50" s="629"/>
      <c r="Q50" s="629"/>
      <c r="R50" s="447"/>
      <c r="S50" s="447"/>
    </row>
    <row r="51" spans="2:19" ht="12.75" customHeight="1">
      <c r="D51" s="448" t="s">
        <v>1306</v>
      </c>
      <c r="E51" s="444"/>
      <c r="F51" s="444"/>
      <c r="G51" s="444"/>
      <c r="H51" s="444"/>
      <c r="I51" s="444"/>
      <c r="J51" s="444"/>
      <c r="K51" s="444"/>
      <c r="L51" s="444"/>
      <c r="M51" s="444"/>
      <c r="N51" s="444"/>
      <c r="O51" s="444"/>
      <c r="P51" s="444"/>
      <c r="Q51" s="444"/>
      <c r="R51" s="447"/>
      <c r="S51" s="447"/>
    </row>
    <row r="52" spans="2:19" ht="12" customHeight="1">
      <c r="D52" s="448" t="s">
        <v>1307</v>
      </c>
      <c r="E52" s="381"/>
      <c r="F52" s="381"/>
      <c r="G52" s="381"/>
      <c r="H52" s="381"/>
      <c r="I52" s="381"/>
      <c r="J52" s="381"/>
      <c r="K52" s="381"/>
      <c r="L52" s="381"/>
      <c r="M52" s="381"/>
      <c r="N52" s="381"/>
      <c r="O52" s="381"/>
      <c r="P52" s="381"/>
      <c r="Q52" s="380"/>
      <c r="R52" s="449"/>
      <c r="S52" s="449"/>
    </row>
    <row r="53" spans="2:19">
      <c r="D53" s="448" t="s">
        <v>1308</v>
      </c>
      <c r="E53" s="381"/>
      <c r="F53" s="381"/>
      <c r="G53" s="381"/>
      <c r="H53" s="381"/>
      <c r="I53" s="381"/>
      <c r="J53" s="381"/>
      <c r="K53" s="381"/>
      <c r="L53" s="381"/>
      <c r="M53" s="381"/>
      <c r="N53" s="381"/>
      <c r="O53" s="381"/>
      <c r="P53" s="381"/>
      <c r="Q53" s="380"/>
      <c r="R53" s="449"/>
      <c r="S53" s="449"/>
    </row>
    <row r="54" spans="2:19">
      <c r="B54" s="423"/>
      <c r="C54" s="423"/>
      <c r="D54" s="448" t="s">
        <v>1309</v>
      </c>
      <c r="E54" s="430"/>
      <c r="F54" s="430"/>
      <c r="G54" s="430"/>
      <c r="H54" s="430"/>
      <c r="I54" s="430"/>
      <c r="J54" s="430"/>
      <c r="K54" s="430"/>
      <c r="L54" s="430"/>
      <c r="M54" s="430"/>
      <c r="N54" s="430"/>
      <c r="O54" s="430"/>
      <c r="P54" s="430"/>
      <c r="Q54" s="355"/>
      <c r="R54" s="450"/>
      <c r="S54" s="450"/>
    </row>
    <row r="55" spans="2:19">
      <c r="D55" s="355"/>
      <c r="E55" s="430"/>
      <c r="F55" s="430"/>
      <c r="G55" s="430"/>
      <c r="H55" s="430"/>
      <c r="I55" s="430"/>
      <c r="J55" s="430"/>
      <c r="K55" s="430"/>
      <c r="L55" s="430"/>
      <c r="M55" s="430"/>
      <c r="N55" s="430"/>
      <c r="O55" s="430"/>
      <c r="P55" s="430"/>
      <c r="Q55" s="355"/>
      <c r="R55" s="450"/>
    </row>
    <row r="56" spans="2:19">
      <c r="D56" s="380"/>
      <c r="E56" s="430"/>
      <c r="F56" s="430"/>
      <c r="G56" s="430"/>
      <c r="H56" s="430"/>
      <c r="I56" s="430"/>
      <c r="J56" s="430"/>
      <c r="K56" s="430"/>
      <c r="L56" s="430"/>
      <c r="M56" s="430"/>
      <c r="N56" s="430"/>
      <c r="O56" s="430"/>
      <c r="P56" s="430"/>
      <c r="Q56" s="355"/>
      <c r="R56" s="450"/>
    </row>
    <row r="57" spans="2:19">
      <c r="D57" s="355"/>
      <c r="E57" s="430"/>
      <c r="F57" s="430"/>
      <c r="G57" s="430"/>
      <c r="H57" s="430"/>
      <c r="I57" s="430"/>
      <c r="J57" s="430"/>
      <c r="K57" s="430"/>
      <c r="L57" s="430"/>
      <c r="M57" s="430"/>
      <c r="N57" s="430"/>
      <c r="O57" s="430"/>
      <c r="P57" s="430"/>
      <c r="Q57" s="355"/>
      <c r="R57" s="450"/>
    </row>
  </sheetData>
  <mergeCells count="16">
    <mergeCell ref="X6:Y6"/>
    <mergeCell ref="D48:R48"/>
    <mergeCell ref="D49:R49"/>
    <mergeCell ref="D50:Q50"/>
    <mergeCell ref="D3:R3"/>
    <mergeCell ref="D4:R4"/>
    <mergeCell ref="E5:H5"/>
    <mergeCell ref="J5:M5"/>
    <mergeCell ref="O5:R5"/>
    <mergeCell ref="E6:F6"/>
    <mergeCell ref="H6:H7"/>
    <mergeCell ref="J6:K6"/>
    <mergeCell ref="M6:M7"/>
    <mergeCell ref="O6:P6"/>
    <mergeCell ref="Q6:Q7"/>
    <mergeCell ref="R6:R7"/>
  </mergeCells>
  <conditionalFormatting sqref="D8:S47">
    <cfRule type="expression" dxfId="1" priority="1">
      <formula>MOD(ROW(),2)=0</formula>
    </cfRule>
  </conditionalFormatting>
  <conditionalFormatting sqref="W9:W47">
    <cfRule type="containsText" dxfId="0" priority="2" operator="containsText" text="DESK">
      <formula>NOT(ISERROR(SEARCH("DESK",W9)))</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A16A-E00E-41BB-8009-F6FF6819A561}">
  <dimension ref="B3:K40"/>
  <sheetViews>
    <sheetView topLeftCell="A14" zoomScale="130" zoomScaleNormal="130" workbookViewId="0">
      <selection activeCell="B88" sqref="B88:K88"/>
    </sheetView>
  </sheetViews>
  <sheetFormatPr defaultColWidth="9.140625" defaultRowHeight="15"/>
  <cols>
    <col min="1" max="1" width="9.140625" style="174"/>
    <col min="2" max="2" width="14.85546875" style="174" customWidth="1"/>
    <col min="3" max="5" width="9.140625" style="174"/>
    <col min="6" max="6" width="8.42578125" style="174" customWidth="1"/>
    <col min="7" max="7" width="9.42578125" style="174" customWidth="1"/>
    <col min="8" max="10" width="9.140625" style="174"/>
    <col min="11" max="11" width="6.28515625" style="174" customWidth="1"/>
    <col min="12" max="16384" width="9.140625" style="174"/>
  </cols>
  <sheetData>
    <row r="3" spans="2:2" ht="15.75">
      <c r="B3" s="156" t="s">
        <v>12</v>
      </c>
    </row>
    <row r="4" spans="2:2">
      <c r="B4" s="175" t="s">
        <v>81</v>
      </c>
    </row>
    <row r="31" spans="2:11">
      <c r="C31" s="176"/>
    </row>
    <row r="32" spans="2:11">
      <c r="B32" s="177" t="s">
        <v>196</v>
      </c>
      <c r="C32" s="174">
        <v>2019</v>
      </c>
      <c r="D32" s="174">
        <v>2020</v>
      </c>
      <c r="E32" s="174">
        <v>2021</v>
      </c>
      <c r="F32" s="174">
        <v>2022</v>
      </c>
      <c r="G32" s="174">
        <v>2023</v>
      </c>
      <c r="H32" s="174">
        <v>2024</v>
      </c>
      <c r="I32" s="174">
        <v>2025</v>
      </c>
      <c r="J32" s="174">
        <v>2026</v>
      </c>
      <c r="K32" s="174">
        <v>2027</v>
      </c>
    </row>
    <row r="33" spans="2:11">
      <c r="B33" s="174" t="s">
        <v>197</v>
      </c>
      <c r="C33" s="176">
        <v>-1.552906741319019</v>
      </c>
      <c r="D33" s="176">
        <v>-9.0052112151367911</v>
      </c>
      <c r="E33" s="176">
        <v>-6.1749743242143174</v>
      </c>
      <c r="F33" s="176">
        <v>-2.8098067403715281</v>
      </c>
      <c r="G33" s="176">
        <v>-2.8262202416299607</v>
      </c>
      <c r="H33" s="176">
        <v>-2.4433287178974732</v>
      </c>
      <c r="I33" s="176">
        <v>-2.2841809046509036</v>
      </c>
      <c r="J33" s="176">
        <v>-2.0683038397009921</v>
      </c>
      <c r="K33" s="176">
        <v>-1.8781953257351676</v>
      </c>
    </row>
    <row r="34" spans="2:11">
      <c r="B34" s="174" t="s">
        <v>198</v>
      </c>
      <c r="C34" s="176">
        <v>104.0724715254499</v>
      </c>
      <c r="D34" s="176">
        <v>122.9923397204502</v>
      </c>
      <c r="E34" s="176">
        <v>117.42870236130692</v>
      </c>
      <c r="F34" s="176">
        <v>112.5511659500871</v>
      </c>
      <c r="G34" s="176">
        <v>112.48562058643626</v>
      </c>
      <c r="H34" s="176">
        <v>113.70456050321371</v>
      </c>
      <c r="I34" s="176">
        <v>115.03912885920248</v>
      </c>
      <c r="J34" s="176">
        <v>115.95641616532245</v>
      </c>
      <c r="K34" s="176">
        <v>116.78980933416149</v>
      </c>
    </row>
    <row r="35" spans="2:11">
      <c r="B35" s="174" t="s">
        <v>199</v>
      </c>
      <c r="C35" s="176">
        <v>-2.7315264628302121</v>
      </c>
      <c r="D35" s="176">
        <v>-7.1660088392595105</v>
      </c>
      <c r="E35" s="176">
        <v>-3.4633039839891628</v>
      </c>
      <c r="F35" s="176">
        <v>-3.495203522548715</v>
      </c>
      <c r="G35" s="176">
        <v>-3.6771640939709931</v>
      </c>
      <c r="H35" s="176">
        <v>-3.0123733381705442</v>
      </c>
      <c r="I35" s="176">
        <v>-2.7682579302470245</v>
      </c>
      <c r="J35" s="176">
        <v>-2.4922035177006907</v>
      </c>
      <c r="K35" s="176">
        <v>-2.2822770567374304</v>
      </c>
    </row>
    <row r="36" spans="2:11">
      <c r="B36" s="174" t="s">
        <v>200</v>
      </c>
      <c r="C36" s="176">
        <v>56.575253372912286</v>
      </c>
      <c r="D36" s="176">
        <v>66.651065416919863</v>
      </c>
      <c r="E36" s="176">
        <v>65.889926544521671</v>
      </c>
      <c r="F36" s="176">
        <v>66.505375562879735</v>
      </c>
      <c r="G36" s="176">
        <v>69.685866861626408</v>
      </c>
      <c r="H36" s="176">
        <v>72.235946718663826</v>
      </c>
      <c r="I36" s="176">
        <v>74.913709908028395</v>
      </c>
      <c r="J36" s="176">
        <v>77.323512533081725</v>
      </c>
      <c r="K36" s="176">
        <v>79.609070637521285</v>
      </c>
    </row>
    <row r="37" spans="2:11">
      <c r="B37" s="174" t="s">
        <v>201</v>
      </c>
      <c r="C37" s="176">
        <v>-0.80350479093581606</v>
      </c>
      <c r="D37" s="176">
        <v>-5.573814285378254</v>
      </c>
      <c r="E37" s="176">
        <v>-1.8871915729255233</v>
      </c>
      <c r="F37" s="176">
        <v>-0.78056894914336639</v>
      </c>
      <c r="G37" s="176">
        <v>-1.937326793055629</v>
      </c>
      <c r="H37" s="176">
        <v>-1.1379341099152851</v>
      </c>
      <c r="I37" s="176">
        <v>-0.86378841839055154</v>
      </c>
      <c r="J37" s="176">
        <v>-0.59289465431377286</v>
      </c>
      <c r="K37" s="176">
        <v>-0.46117642251250585</v>
      </c>
    </row>
    <row r="38" spans="2:11">
      <c r="B38" s="174" t="s">
        <v>202</v>
      </c>
      <c r="C38" s="176">
        <v>52.574383697630267</v>
      </c>
      <c r="D38" s="176">
        <v>62.297524577097555</v>
      </c>
      <c r="E38" s="176">
        <v>59.371003948786495</v>
      </c>
      <c r="F38" s="176">
        <v>56.21655068751032</v>
      </c>
      <c r="G38" s="176">
        <v>57.30581094981568</v>
      </c>
      <c r="H38" s="176">
        <v>57.698179888499141</v>
      </c>
      <c r="I38" s="176">
        <v>58.186937733078423</v>
      </c>
      <c r="J38" s="176">
        <v>58.445019440857081</v>
      </c>
      <c r="K38" s="176">
        <v>58.622604190166371</v>
      </c>
    </row>
    <row r="39" spans="2:11">
      <c r="B39" s="174" t="s">
        <v>203</v>
      </c>
      <c r="C39" s="176">
        <v>-1.8739030659436926</v>
      </c>
      <c r="D39" s="176">
        <v>-3.2074090942481632</v>
      </c>
      <c r="E39" s="176">
        <v>-2.8089010379633446</v>
      </c>
      <c r="F39" s="176">
        <v>-2.2714469497043916</v>
      </c>
      <c r="G39" s="176">
        <v>-2.3623381455437604</v>
      </c>
      <c r="H39" s="176">
        <v>-2.0278229986899858</v>
      </c>
      <c r="I39" s="176">
        <v>-1.8934690806790109</v>
      </c>
      <c r="J39" s="176">
        <v>-1.7725850181897811</v>
      </c>
      <c r="K39" s="176">
        <v>-1.7436586360672304</v>
      </c>
    </row>
    <row r="40" spans="2:11">
      <c r="B40" s="174" t="s">
        <v>204</v>
      </c>
      <c r="C40" s="176">
        <v>42.807445493468869</v>
      </c>
      <c r="D40" s="176">
        <v>48.405618155047563</v>
      </c>
      <c r="E40" s="176">
        <v>48.396484331426237</v>
      </c>
      <c r="F40" s="176">
        <v>48.218989656642535</v>
      </c>
      <c r="G40" s="176">
        <v>48.283999350283516</v>
      </c>
      <c r="H40" s="176">
        <v>46.846352480517275</v>
      </c>
      <c r="I40" s="176">
        <v>45.809544305048213</v>
      </c>
      <c r="J40" s="176">
        <v>44.944154852074504</v>
      </c>
      <c r="K40" s="176">
        <v>44.187774054103059</v>
      </c>
    </row>
  </sheetData>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595F-E7A2-4DC3-849B-AF72F0CF20AD}">
  <dimension ref="A1:R13"/>
  <sheetViews>
    <sheetView zoomScale="85" zoomScaleNormal="85" workbookViewId="0">
      <selection activeCell="B88" sqref="B88:K88"/>
    </sheetView>
  </sheetViews>
  <sheetFormatPr defaultRowHeight="12.75"/>
  <cols>
    <col min="7" max="18" width="9.140625" style="165"/>
  </cols>
  <sheetData>
    <row r="1" spans="1:8">
      <c r="B1" t="s">
        <v>205</v>
      </c>
      <c r="C1" t="s">
        <v>206</v>
      </c>
    </row>
    <row r="2" spans="1:8">
      <c r="A2" t="s">
        <v>207</v>
      </c>
      <c r="B2">
        <v>1.6946587193013236E-2</v>
      </c>
      <c r="C2">
        <v>-5.8549765962691021E-2</v>
      </c>
    </row>
    <row r="3" spans="1:8">
      <c r="A3" t="s">
        <v>208</v>
      </c>
      <c r="B3">
        <v>-1.1199326088184145</v>
      </c>
      <c r="C3">
        <v>-1.1645958536603536</v>
      </c>
    </row>
    <row r="4" spans="1:8">
      <c r="A4" t="s">
        <v>209</v>
      </c>
      <c r="B4">
        <v>-1.4232900013089533</v>
      </c>
      <c r="C4">
        <v>1.3395024608853012</v>
      </c>
    </row>
    <row r="5" spans="1:8" ht="15.75">
      <c r="A5" t="s">
        <v>210</v>
      </c>
      <c r="B5">
        <v>-2.0686831400152994</v>
      </c>
      <c r="C5">
        <v>-3.8489319609271759</v>
      </c>
      <c r="H5" s="168" t="s">
        <v>211</v>
      </c>
    </row>
    <row r="6" spans="1:8" ht="14.25">
      <c r="A6" t="s">
        <v>212</v>
      </c>
      <c r="B6">
        <v>-2.7183475459029474</v>
      </c>
      <c r="C6">
        <v>6.3568500956820248E-2</v>
      </c>
      <c r="H6" s="178" t="s">
        <v>81</v>
      </c>
    </row>
    <row r="7" spans="1:8">
      <c r="A7" t="s">
        <v>213</v>
      </c>
      <c r="B7">
        <v>-2.8529263233107267</v>
      </c>
      <c r="C7">
        <v>-1.2506108356590868</v>
      </c>
    </row>
    <row r="8" spans="1:8">
      <c r="A8" t="s">
        <v>214</v>
      </c>
      <c r="B8">
        <v>-3.0349777463102852</v>
      </c>
      <c r="C8">
        <v>-2.7383118355089486</v>
      </c>
    </row>
    <row r="9" spans="1:8">
      <c r="A9" t="s">
        <v>215</v>
      </c>
      <c r="B9">
        <v>-3.5913649998118524</v>
      </c>
      <c r="C9">
        <v>-3.4138999748922454</v>
      </c>
    </row>
    <row r="10" spans="1:8">
      <c r="A10" t="s">
        <v>216</v>
      </c>
      <c r="B10">
        <v>-4.2449329311726514</v>
      </c>
      <c r="C10">
        <v>-3.010632569150212</v>
      </c>
    </row>
    <row r="11" spans="1:8">
      <c r="A11" t="s">
        <v>217</v>
      </c>
      <c r="B11">
        <v>-5.319257085588851</v>
      </c>
      <c r="C11">
        <v>-2.2960439054671578</v>
      </c>
    </row>
    <row r="12" spans="1:8">
      <c r="A12" t="s">
        <v>218</v>
      </c>
      <c r="B12">
        <v>-5.5132943950405018</v>
      </c>
      <c r="C12">
        <v>-4.4187076435634021</v>
      </c>
    </row>
    <row r="13" spans="1:8">
      <c r="A13" t="s">
        <v>219</v>
      </c>
      <c r="B13">
        <v>-6.7490753542968447</v>
      </c>
      <c r="C13">
        <v>-7.4726327232906371</v>
      </c>
    </row>
  </sheetData>
  <autoFilter ref="A1:C1" xr:uid="{1504A20A-195F-463C-9EDE-1F7F0CE2433C}">
    <sortState xmlns:xlrd2="http://schemas.microsoft.com/office/spreadsheetml/2017/richdata2" ref="A2:C39">
      <sortCondition descending="1" ref="B1"/>
    </sortState>
  </autoFilter>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Zhang, Chenlu</dc:creator>
  <cp:keywords/>
  <dc:description/>
  <cp:lastModifiedBy>El-Gebaly, Noha</cp:lastModifiedBy>
  <cp:revision/>
  <dcterms:created xsi:type="dcterms:W3CDTF">2023-04-10T03:53:24Z</dcterms:created>
  <dcterms:modified xsi:type="dcterms:W3CDTF">2023-04-12T14:50:19Z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2023-04-10T03:53:24Z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4a318e56-16d1-4ff3-a1c1-bc73f56f5d76</vt:lpwstr>
  </property>
  <property fmtid="{D5CDD505-2E9C-101B-9397-08002B2CF9AE}" pid="8" name="MSIP_Label_0c07ed86-5dc5-4593-ad03-a8684b843815_ContentBits">
    <vt:lpwstr>0</vt:lpwstr>
  </property>
</Properties>
</file>